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5" windowWidth="11880" windowHeight="7290" tabRatio="871" activeTab="0"/>
  </bookViews>
  <sheets>
    <sheet name="INTRODUCTION" sheetId="1" r:id="rId1"/>
    <sheet name=" COSTS PER ACRE - USER INPUT" sheetId="2" r:id="rId2"/>
    <sheet name="COSTS PER ACRE - OUTPUT" sheetId="3" r:id="rId3"/>
    <sheet name="MONTHLY COSTS - OUTPUT" sheetId="4" r:id="rId4"/>
    <sheet name="RANGING ANALYSIS" sheetId="5" r:id="rId5"/>
  </sheets>
  <definedNames>
    <definedName name="Commodity_Name">'INTRODUCTION'!$A$2</definedName>
    <definedName name="County_Region">' COSTS PER ACRE - USER INPUT'!$A$3</definedName>
    <definedName name="Cultural_Costs">' COSTS PER ACRE - USER INPUT'!#REF!</definedName>
    <definedName name="Establish_Yields_Per_Acre">#REF!</definedName>
    <definedName name="Establishment_costs">#REF!</definedName>
    <definedName name="Harvest_Costs">' COSTS PER ACRE - USER INPUT'!#REF!</definedName>
    <definedName name="Harvset_Costs">' COSTS PER ACRE - USER INPUT'!#REF!</definedName>
    <definedName name="Interes_Costs">' COSTS PER ACRE - USER INPUT'!#REF!</definedName>
    <definedName name="Price">#REF!</definedName>
    <definedName name="_xlnm.Print_Area" localSheetId="1">' COSTS PER ACRE - USER INPUT'!$A$1:$R$63</definedName>
    <definedName name="_xlnm.Print_Area" localSheetId="2">'COSTS PER ACRE - OUTPUT'!$A$1:$F$34</definedName>
    <definedName name="_xlnm.Print_Area" localSheetId="3">'MONTHLY COSTS - OUTPUT'!$A$1:$N$33</definedName>
    <definedName name="_xlnm.Print_Area" localSheetId="4">'RANGING ANALYSIS'!$A$22:$H$83</definedName>
    <definedName name="Region_Year">'INTRODUCTION'!$A$3</definedName>
    <definedName name="SACRAMENTO_VALLEY___2004">' COSTS PER ACRE - USER INPUT'!$A$3</definedName>
    <definedName name="Total_Cash_Costs">' COSTS PER ACRE - USER INPUT'!#REF!</definedName>
    <definedName name="Total_Cash_Overhead">' COSTS PER ACRE - USER INPUT'!#REF!</definedName>
    <definedName name="Total_Cost">' COSTS PER ACRE - USER INPUT'!#REF!</definedName>
    <definedName name="Total_NonCash_Costs">' COSTS PER ACRE - USER INPUT'!$F$60</definedName>
    <definedName name="Total_Operating_Costs">' COSTS PER ACRE - USER INPUT'!#REF!</definedName>
    <definedName name="Unit">#REF!</definedName>
    <definedName name="Yield">#REF!</definedName>
  </definedNames>
  <calcPr fullCalcOnLoad="1"/>
</workbook>
</file>

<file path=xl/sharedStrings.xml><?xml version="1.0" encoding="utf-8"?>
<sst xmlns="http://schemas.openxmlformats.org/spreadsheetml/2006/main" count="219" uniqueCount="159">
  <si>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</si>
  <si>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</si>
  <si>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</si>
  <si>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</si>
  <si>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</si>
  <si>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</si>
  <si>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</si>
  <si>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</si>
  <si>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</si>
  <si>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</si>
  <si>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</si>
  <si>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</si>
  <si>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</t>
  </si>
  <si>
    <t>Cultural:</t>
  </si>
  <si>
    <t>Harvest:</t>
  </si>
  <si>
    <t>CASH OVERHEAD:</t>
  </si>
  <si>
    <t>TOTAL CULTURAL COSTS</t>
  </si>
  <si>
    <t>TOTAL HARVEST COSTS</t>
  </si>
  <si>
    <t>TOTAL OPERATING COSTS/ACRE</t>
  </si>
  <si>
    <t>Office Expense</t>
  </si>
  <si>
    <t>Liability Insurance</t>
  </si>
  <si>
    <t>Property Taxes</t>
  </si>
  <si>
    <t>Property Insurance</t>
  </si>
  <si>
    <t>Investment Repairs</t>
  </si>
  <si>
    <t>TOTAL CASH OVERHEAD COSTS</t>
  </si>
  <si>
    <t>Equipment</t>
  </si>
  <si>
    <t>TOTAL COSTS/ACRE</t>
  </si>
  <si>
    <t>TOTAL CASH COSTS/ACRE</t>
  </si>
  <si>
    <t>Operation</t>
  </si>
  <si>
    <t>Labor</t>
  </si>
  <si>
    <t>Fuel,Lube</t>
  </si>
  <si>
    <t>Material</t>
  </si>
  <si>
    <t>Custom/</t>
  </si>
  <si>
    <t>Total</t>
  </si>
  <si>
    <t>Cost</t>
  </si>
  <si>
    <t>&amp; Repairs</t>
  </si>
  <si>
    <t>Rent</t>
  </si>
  <si>
    <t>U C COOPERATIVE EXTENSION</t>
  </si>
  <si>
    <t>OVERHEAD:</t>
  </si>
  <si>
    <t xml:space="preserve">         Table 6.</t>
  </si>
  <si>
    <t>OPERATING COSTS/ACRE:</t>
  </si>
  <si>
    <t>Interest on operating capital</t>
  </si>
  <si>
    <t>CASH OVERHEAD COSTS/ACRE</t>
  </si>
  <si>
    <t>NON-CASH OVERHEAD COSTS/ACRE</t>
  </si>
  <si>
    <t>PRICE</t>
  </si>
  <si>
    <t>Harvest Costs:</t>
  </si>
  <si>
    <t>Interest on Operating Capital</t>
  </si>
  <si>
    <t>Cash and Labor Costs per Acre</t>
  </si>
  <si>
    <t>Annual</t>
  </si>
  <si>
    <t>UC COOPERATIVE EXTENSION</t>
  </si>
  <si>
    <t>Note: Please insert numbers only - no letters.</t>
  </si>
  <si>
    <t xml:space="preserve">A blank cell counts as a zero.   </t>
  </si>
  <si>
    <t>The calendar below shows how many times each operation is performed in each</t>
  </si>
  <si>
    <t>Additional operation</t>
  </si>
  <si>
    <t>NET RETURNS PER ACRE ABOVE OPERATING COSTS</t>
  </si>
  <si>
    <t>NET RETURNS PER ACRE ABOVE CASH COST</t>
  </si>
  <si>
    <t>NET RETURNS PER ACRE ABOVE TOTAL COST</t>
  </si>
  <si>
    <t>Cultural Costs</t>
  </si>
  <si>
    <t>Data Input</t>
  </si>
  <si>
    <t>Unit</t>
  </si>
  <si>
    <t>RANGING ANALYSIS</t>
  </si>
  <si>
    <t>Acre" sheet. To update Costs Per Acre, enter new harvest costs obtained here directly into that sheet.</t>
  </si>
  <si>
    <t xml:space="preserve">Base Yield </t>
  </si>
  <si>
    <t xml:space="preserve">Yield increment </t>
  </si>
  <si>
    <t>Base price</t>
  </si>
  <si>
    <t xml:space="preserve">Price Increment </t>
  </si>
  <si>
    <t>Quantity</t>
  </si>
  <si>
    <t>INPUT TABLE</t>
  </si>
  <si>
    <t xml:space="preserve">NOTE: Alteration of harvest costs on this sheet will not result in automatic recalculation of the "Costs Per </t>
  </si>
  <si>
    <t>Per Acre</t>
  </si>
  <si>
    <t>INSTRUCTIONS:  Fill in the yellow shaded areas in the INPUT TABLE to change any of the default values.</t>
  </si>
  <si>
    <t>column blank.</t>
  </si>
  <si>
    <t>One cell must be blank in each row.</t>
  </si>
  <si>
    <t xml:space="preserve">Interest on operating capital </t>
  </si>
  <si>
    <t>Interest rate=</t>
  </si>
  <si>
    <t>Yrs</t>
  </si>
  <si>
    <t>Salvage</t>
  </si>
  <si>
    <t>Capital</t>
  </si>
  <si>
    <t>Description</t>
  </si>
  <si>
    <t>Price</t>
  </si>
  <si>
    <t>Life</t>
  </si>
  <si>
    <t>Value</t>
  </si>
  <si>
    <t>Recovery</t>
  </si>
  <si>
    <t>INVESTMENT</t>
  </si>
  <si>
    <t>TOTAL INVESTMENT</t>
  </si>
  <si>
    <t>No. of Producing Acres</t>
  </si>
  <si>
    <t>Factor</t>
  </si>
  <si>
    <t>Interest Rate</t>
  </si>
  <si>
    <t xml:space="preserve">INSTRUCTIONS:  Fill in the yellow shaded areas in the INPUT TABLE to change </t>
  </si>
  <si>
    <t xml:space="preserve">The costs below are considered typical. If you choose to change numbers in yellow shading to reflect </t>
  </si>
  <si>
    <t>Additional operation', type the name of the new operation and enter costs in the appropriate columns.</t>
  </si>
  <si>
    <t xml:space="preserve">your own enterprise, total costs in blue shading on this sheet and on the output and monthly costs sheets </t>
  </si>
  <si>
    <t xml:space="preserve">will automatically be recalculated. If you wish to add additional operations, click in a cell labeled </t>
  </si>
  <si>
    <t>interest rate. The purchase price, years of life, and salvage value can also be changed.</t>
  </si>
  <si>
    <t>default values for the total number of producing acres that use these investments and for the</t>
  </si>
  <si>
    <t xml:space="preserve">COSTS PER ACRE - USER INPUT  </t>
  </si>
  <si>
    <t xml:space="preserve">You can alter the costs shown on this worksheet, add additional operations, </t>
  </si>
  <si>
    <t xml:space="preserve">and modify the timing of operations to more accurately reflect your own </t>
  </si>
  <si>
    <t>enterprise.</t>
  </si>
  <si>
    <t>COSTS PER ACRE - OUTPUT</t>
  </si>
  <si>
    <t>This sheet summarizes costs from the user input sheet in a printer-friendly</t>
  </si>
  <si>
    <t xml:space="preserve">format. Numbers on this sheet are calculated from the previous sheet and </t>
  </si>
  <si>
    <t>cannot be altered directly.</t>
  </si>
  <si>
    <t>MONTHLY COSTS - OUTPUT</t>
  </si>
  <si>
    <t xml:space="preserve">This sheet breaks down the costs per acre on a month-by-month basis. </t>
  </si>
  <si>
    <t>Numbers on this sheet are calculated from the input sheet and cannot be</t>
  </si>
  <si>
    <t>altered directly.</t>
  </si>
  <si>
    <t xml:space="preserve">This worksheet shows costs and returns per acre at varying yields.  You can </t>
  </si>
  <si>
    <t>change the default harvest costs, yields, and prices in the Input Table at the</t>
  </si>
  <si>
    <t xml:space="preserve"> top of the sheet.  Note that changes made on this sheet will not be reflected  </t>
  </si>
  <si>
    <t xml:space="preserve">in the Costs Per Acre sheets. </t>
  </si>
  <si>
    <t xml:space="preserve">Please note that throughout this workbook, numbers in yellow shading can be changed directly by the user, </t>
  </si>
  <si>
    <t>while numbers in blue shading result from formulas and cannot be changed directly.</t>
  </si>
  <si>
    <t xml:space="preserve">For more information about the study and how costs were derived, please consult the PDF file "Sample Costs to </t>
  </si>
  <si>
    <t xml:space="preserve"> All sample costs presented are considered typical for this region.  The worksheets are organized as follows:</t>
  </si>
  <si>
    <t>For harvest costs that vary by yield, enter a cost in the "Per Box" column, and be sure to leave the "Per Acre" column</t>
  </si>
  <si>
    <t>blank. For harvest costs that do not vary by yield, enter a cost in the "Per Acre" column and leave the "Per Box"</t>
  </si>
  <si>
    <t xml:space="preserve">       RANGING ANALYSIS</t>
  </si>
  <si>
    <t>No. of Crops Per Acre Per Year</t>
  </si>
  <si>
    <t>SAMPLE COSTS TO PRODUCE DAIKON (ORIENTAL RADISH)</t>
  </si>
  <si>
    <t>COSTS PER ACRE TO PRODUCE DAIKON (ORIENTAL RADISH)</t>
  </si>
  <si>
    <t>ANNUAL INVESTMENT COSTS TO PRODUCE DAIKON (ORIENTAL RADISH)</t>
  </si>
  <si>
    <t xml:space="preserve">                       MONTHLY CASH COSTS PER ACRE TO PRODUCE DAIKON (ORIENTAL RADISH)</t>
  </si>
  <si>
    <t>COSTS PER ACRE AT VARYING YIELDS TO PRODUCE DAIKON (ORIENTAL RADISH)</t>
  </si>
  <si>
    <t xml:space="preserve">Produce Daikon, San Joaquin Valley, South - 2005" available at </t>
  </si>
  <si>
    <t>http://www.coststudies.ucdavis.edu/uploads/new_cost_returns/daikonvs2005.pdf</t>
  </si>
  <si>
    <t>Land Prep: Plow, Disc, List</t>
  </si>
  <si>
    <t>Land Prep: Flatten Bed Tops</t>
  </si>
  <si>
    <t>Fertilize: Preplant (15-15-15)</t>
  </si>
  <si>
    <t>Plant: Seed</t>
  </si>
  <si>
    <t>Irrigate: (water &amp; labor)</t>
  </si>
  <si>
    <t>Fertilize: UN32</t>
  </si>
  <si>
    <t>Miscellaneous Pickup Use</t>
  </si>
  <si>
    <t>Hand Pick, Wash &amp; Pack</t>
  </si>
  <si>
    <t>Haul</t>
  </si>
  <si>
    <t>Land Rent</t>
  </si>
  <si>
    <t>Irrigation Flat Pipe</t>
  </si>
  <si>
    <t>Miscellaneous Field Tools</t>
  </si>
  <si>
    <t>Quantity/</t>
  </si>
  <si>
    <t>Price or</t>
  </si>
  <si>
    <t>Value or</t>
  </si>
  <si>
    <t>Acre</t>
  </si>
  <si>
    <t>Cost/Unit</t>
  </si>
  <si>
    <t>Cost/Acre</t>
  </si>
  <si>
    <t>GROSS RETURNS</t>
  </si>
  <si>
    <t>Diakon</t>
  </si>
  <si>
    <t>box</t>
  </si>
  <si>
    <t>Beginning JAN 05</t>
  </si>
  <si>
    <t>Ending DEC 05</t>
  </si>
  <si>
    <t>Harvest</t>
  </si>
  <si>
    <t>Harvest Costs</t>
  </si>
  <si>
    <t>The sample costs to produce daikon in the San Joaquin Valley region are presented in this study.</t>
  </si>
  <si>
    <t>Note: Blue shaded cells are protected and contain formulas that cannot be changed.</t>
  </si>
  <si>
    <t xml:space="preserve">month on a typical, well-managed farm. For irrigation and fertilization it shows the </t>
  </si>
  <si>
    <t>percent of annual expense. If you choose to change these numbers to reflect your</t>
  </si>
  <si>
    <t>own enterprise, the monthly costs on the next sheet will automatically be recalculated.</t>
  </si>
  <si>
    <t>SAN JOAQUIN VALLEY - 2005</t>
  </si>
  <si>
    <t>Base Unit</t>
  </si>
  <si>
    <t>Box (40 lbs)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</si>
</sst>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_(* #,##0.0_);_(* \(#,##0.0\);_(* &quot;-&quot;?_);_(@_)"/>
    <numFmt numFmtId="174" formatCode="&quot;$&quot;#,##0.00"/>
    <numFmt numFmtId="175" formatCode="#,##0.0"/>
    <numFmt numFmtId="176" formatCode="#,##0.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name val="LinePrinter"/>
      <family val="0"/>
    </font>
    <font>
      <b/>
      <sz val="9"/>
      <name val="LinePrinter"/>
      <family val="0"/>
    </font>
    <font>
      <b/>
      <sz val="8.5"/>
      <name val="Arial"/>
      <family val="2"/>
    </font>
    <font>
      <sz val="8.5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color indexed="48"/>
      <name val="Arial"/>
      <family val="2"/>
    </font>
    <font>
      <i/>
      <sz val="8"/>
      <color indexed="48"/>
      <name val="Arial"/>
      <family val="2"/>
    </font>
    <font>
      <b/>
      <i/>
      <sz val="8"/>
      <color indexed="48"/>
      <name val="Arial"/>
      <family val="2"/>
    </font>
    <font>
      <i/>
      <sz val="8.5"/>
      <name val="Arial"/>
      <family val="2"/>
    </font>
    <font>
      <i/>
      <sz val="8.5"/>
      <color indexed="48"/>
      <name val="Arial"/>
      <family val="2"/>
    </font>
    <font>
      <sz val="10"/>
      <color indexed="48"/>
      <name val="Arial"/>
      <family val="0"/>
    </font>
    <font>
      <i/>
      <sz val="9"/>
      <color indexed="48"/>
      <name val="LinePrinter"/>
      <family val="0"/>
    </font>
    <font>
      <i/>
      <sz val="10"/>
      <color indexed="48"/>
      <name val="Arial"/>
      <family val="0"/>
    </font>
    <font>
      <b/>
      <sz val="10"/>
      <name val="Arial"/>
      <family val="2"/>
    </font>
    <font>
      <i/>
      <sz val="9"/>
      <name val="LinePrinter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color indexed="48"/>
      <name val="LinePrinter"/>
      <family val="0"/>
    </font>
    <font>
      <sz val="8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7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24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" fontId="3" fillId="0" borderId="0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10" fontId="3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 quotePrefix="1">
      <alignment horizontal="right"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3" fillId="2" borderId="2" xfId="0" applyNumberFormat="1" applyFont="1" applyFill="1" applyBorder="1" applyAlignment="1" applyProtection="1">
      <alignment/>
      <protection/>
    </xf>
    <xf numFmtId="3" fontId="3" fillId="3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2" xfId="15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>
      <alignment/>
    </xf>
    <xf numFmtId="0" fontId="3" fillId="0" borderId="2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12" fillId="0" borderId="1" xfId="0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/>
      <protection/>
    </xf>
    <xf numFmtId="9" fontId="3" fillId="0" borderId="0" xfId="21" applyFont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3" fontId="3" fillId="2" borderId="0" xfId="0" applyNumberFormat="1" applyFont="1" applyFill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10" fontId="3" fillId="0" borderId="2" xfId="0" applyNumberFormat="1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25" fillId="0" borderId="8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 horizontal="center"/>
      <protection/>
    </xf>
    <xf numFmtId="3" fontId="25" fillId="0" borderId="11" xfId="0" applyNumberFormat="1" applyFont="1" applyBorder="1" applyAlignment="1" applyProtection="1">
      <alignment horizontal="right"/>
      <protection/>
    </xf>
    <xf numFmtId="3" fontId="25" fillId="0" borderId="12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12" fillId="0" borderId="1" xfId="0" applyNumberFormat="1" applyFont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/>
    </xf>
    <xf numFmtId="0" fontId="12" fillId="0" borderId="1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4" fontId="12" fillId="2" borderId="0" xfId="0" applyNumberFormat="1" applyFont="1" applyFill="1" applyAlignment="1" applyProtection="1">
      <alignment/>
      <protection/>
    </xf>
    <xf numFmtId="3" fontId="12" fillId="2" borderId="0" xfId="0" applyNumberFormat="1" applyFont="1" applyFill="1" applyAlignment="1" applyProtection="1">
      <alignment/>
      <protection/>
    </xf>
    <xf numFmtId="2" fontId="12" fillId="2" borderId="0" xfId="0" applyNumberFormat="1" applyFont="1" applyFill="1" applyAlignment="1" applyProtection="1">
      <alignment/>
      <protection/>
    </xf>
    <xf numFmtId="1" fontId="12" fillId="2" borderId="0" xfId="0" applyNumberFormat="1" applyFont="1" applyFill="1" applyAlignment="1" applyProtection="1">
      <alignment/>
      <protection/>
    </xf>
    <xf numFmtId="3" fontId="12" fillId="2" borderId="0" xfId="0" applyNumberFormat="1" applyFont="1" applyFill="1" applyAlignment="1" applyProtection="1">
      <alignment/>
      <protection/>
    </xf>
    <xf numFmtId="0" fontId="12" fillId="0" borderId="2" xfId="0" applyFont="1" applyBorder="1" applyAlignment="1" applyProtection="1">
      <alignment horizontal="left"/>
      <protection/>
    </xf>
    <xf numFmtId="3" fontId="12" fillId="2" borderId="2" xfId="0" applyNumberFormat="1" applyFont="1" applyFill="1" applyBorder="1" applyAlignment="1" applyProtection="1">
      <alignment/>
      <protection/>
    </xf>
    <xf numFmtId="0" fontId="12" fillId="2" borderId="2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 locked="0"/>
    </xf>
    <xf numFmtId="3" fontId="12" fillId="3" borderId="1" xfId="0" applyNumberFormat="1" applyFont="1" applyFill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 horizontal="right"/>
      <protection locked="0"/>
    </xf>
    <xf numFmtId="3" fontId="25" fillId="3" borderId="1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12" fillId="3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3" fontId="12" fillId="3" borderId="0" xfId="0" applyNumberFormat="1" applyFont="1" applyFill="1" applyAlignment="1" applyProtection="1">
      <alignment/>
      <protection locked="0"/>
    </xf>
    <xf numFmtId="9" fontId="12" fillId="3" borderId="0" xfId="21" applyFont="1" applyFill="1" applyBorder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10" fontId="3" fillId="3" borderId="0" xfId="0" applyNumberFormat="1" applyFont="1" applyFill="1" applyAlignment="1" applyProtection="1">
      <alignment/>
      <protection locked="0"/>
    </xf>
    <xf numFmtId="3" fontId="26" fillId="3" borderId="10" xfId="0" applyNumberFormat="1" applyFont="1" applyFill="1" applyBorder="1" applyAlignment="1" applyProtection="1">
      <alignment horizontal="right"/>
      <protection locked="0"/>
    </xf>
    <xf numFmtId="175" fontId="26" fillId="3" borderId="5" xfId="0" applyNumberFormat="1" applyFont="1" applyFill="1" applyBorder="1" applyAlignment="1" applyProtection="1">
      <alignment horizontal="right"/>
      <protection locked="0"/>
    </xf>
    <xf numFmtId="10" fontId="12" fillId="3" borderId="7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4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6" fillId="0" borderId="4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 applyProtection="1">
      <alignment/>
      <protection locked="0"/>
    </xf>
    <xf numFmtId="4" fontId="0" fillId="3" borderId="0" xfId="0" applyNumberFormat="1" applyFont="1" applyFill="1" applyBorder="1" applyAlignment="1" applyProtection="1">
      <alignment/>
      <protection locked="0"/>
    </xf>
    <xf numFmtId="0" fontId="3" fillId="3" borderId="5" xfId="0" applyFont="1" applyFill="1" applyBorder="1" applyAlignment="1" applyProtection="1">
      <alignment/>
      <protection locked="0"/>
    </xf>
    <xf numFmtId="0" fontId="0" fillId="3" borderId="0" xfId="0" applyNumberFormat="1" applyFont="1" applyFill="1" applyBorder="1" applyAlignment="1" applyProtection="1">
      <alignment/>
      <protection locked="0"/>
    </xf>
    <xf numFmtId="174" fontId="0" fillId="3" borderId="0" xfId="0" applyNumberFormat="1" applyFont="1" applyFill="1" applyBorder="1" applyAlignment="1" applyProtection="1">
      <alignment horizontal="right"/>
      <protection locked="0"/>
    </xf>
    <xf numFmtId="2" fontId="2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28" fillId="0" borderId="0" xfId="0" applyNumberFormat="1" applyFont="1" applyAlignment="1">
      <alignment horizontal="left"/>
    </xf>
    <xf numFmtId="2" fontId="1" fillId="0" borderId="0" xfId="20" applyNumberFormat="1" applyAlignment="1">
      <alignment horizontal="left"/>
    </xf>
    <xf numFmtId="0" fontId="12" fillId="0" borderId="1" xfId="0" applyFont="1" applyBorder="1" applyAlignment="1" applyProtection="1">
      <alignment horizontal="right"/>
      <protection/>
    </xf>
    <xf numFmtId="3" fontId="27" fillId="0" borderId="6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1" fillId="0" borderId="11" xfId="0" applyFont="1" applyBorder="1" applyAlignment="1">
      <alignment horizontal="right"/>
    </xf>
    <xf numFmtId="0" fontId="0" fillId="0" borderId="5" xfId="0" applyBorder="1" applyAlignment="1">
      <alignment/>
    </xf>
    <xf numFmtId="0" fontId="29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4" xfId="0" applyFont="1" applyBorder="1" applyAlignment="1" applyProtection="1">
      <alignment/>
      <protection/>
    </xf>
    <xf numFmtId="0" fontId="12" fillId="0" borderId="4" xfId="0" applyFont="1" applyFill="1" applyBorder="1" applyAlignment="1" applyProtection="1">
      <alignment horizontal="right"/>
      <protection/>
    </xf>
    <xf numFmtId="0" fontId="9" fillId="0" borderId="4" xfId="0" applyFont="1" applyBorder="1" applyAlignment="1" applyProtection="1">
      <alignment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7" fillId="0" borderId="4" xfId="0" applyFont="1" applyFill="1" applyBorder="1" applyAlignment="1">
      <alignment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 quotePrefix="1">
      <alignment horizontal="center"/>
      <protection locked="0"/>
    </xf>
    <xf numFmtId="3" fontId="3" fillId="0" borderId="2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tstudies.ucdavis.edu/uploads/new_cost_returns/daikonvs200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3.140625" style="97" customWidth="1"/>
    <col min="2" max="2" width="65.00390625" style="97" customWidth="1"/>
    <col min="3" max="16384" width="9.140625" style="97" customWidth="1"/>
  </cols>
  <sheetData>
    <row r="1" spans="1:2" ht="12.75">
      <c r="A1" s="205" t="s">
        <v>49</v>
      </c>
      <c r="B1" s="205"/>
    </row>
    <row r="2" spans="1:2" ht="12.75">
      <c r="A2" s="205" t="s">
        <v>119</v>
      </c>
      <c r="B2" s="205"/>
    </row>
    <row r="3" spans="1:2" ht="12.75">
      <c r="A3" s="205" t="s">
        <v>156</v>
      </c>
      <c r="B3" s="205"/>
    </row>
    <row r="4" spans="1:2" ht="12.75">
      <c r="A4" s="206"/>
      <c r="B4" s="206"/>
    </row>
    <row r="5" spans="1:2" ht="12.75">
      <c r="A5" s="207" t="s">
        <v>151</v>
      </c>
      <c r="B5" s="207"/>
    </row>
    <row r="6" spans="1:2" ht="12.75">
      <c r="A6" s="207" t="s">
        <v>114</v>
      </c>
      <c r="B6" s="207"/>
    </row>
    <row r="7" spans="1:2" ht="12.75">
      <c r="A7" s="208"/>
      <c r="B7" s="208"/>
    </row>
    <row r="8" spans="1:2" ht="12.75">
      <c r="A8" s="98" t="s">
        <v>95</v>
      </c>
      <c r="B8" s="99" t="s">
        <v>96</v>
      </c>
    </row>
    <row r="9" ht="12.75">
      <c r="B9" s="99" t="s">
        <v>97</v>
      </c>
    </row>
    <row r="10" spans="1:2" ht="12.75">
      <c r="A10" s="99"/>
      <c r="B10" s="99" t="s">
        <v>98</v>
      </c>
    </row>
    <row r="11" spans="1:2" ht="12.75">
      <c r="A11" s="98" t="s">
        <v>99</v>
      </c>
      <c r="B11" s="99" t="s">
        <v>100</v>
      </c>
    </row>
    <row r="12" spans="1:2" ht="12.75">
      <c r="A12" s="99"/>
      <c r="B12" s="99" t="s">
        <v>101</v>
      </c>
    </row>
    <row r="13" spans="1:2" ht="12.75">
      <c r="A13" s="99"/>
      <c r="B13" s="99" t="s">
        <v>102</v>
      </c>
    </row>
    <row r="14" spans="1:2" ht="12.75">
      <c r="A14" s="98" t="s">
        <v>103</v>
      </c>
      <c r="B14" s="99" t="s">
        <v>104</v>
      </c>
    </row>
    <row r="15" spans="1:2" ht="12.75">
      <c r="A15" s="99"/>
      <c r="B15" s="99" t="s">
        <v>105</v>
      </c>
    </row>
    <row r="16" spans="1:2" ht="12.75">
      <c r="A16" s="99"/>
      <c r="B16" s="99" t="s">
        <v>106</v>
      </c>
    </row>
    <row r="17" spans="1:2" ht="12.75">
      <c r="A17" s="98" t="s">
        <v>60</v>
      </c>
      <c r="B17" s="99" t="s">
        <v>107</v>
      </c>
    </row>
    <row r="18" spans="1:2" ht="12.75">
      <c r="A18" s="99"/>
      <c r="B18" s="99" t="s">
        <v>108</v>
      </c>
    </row>
    <row r="19" spans="1:2" ht="12.75">
      <c r="A19" s="99"/>
      <c r="B19" s="99" t="s">
        <v>109</v>
      </c>
    </row>
    <row r="20" spans="1:2" ht="12.75">
      <c r="A20" s="99"/>
      <c r="B20" s="99" t="s">
        <v>110</v>
      </c>
    </row>
    <row r="21" spans="1:2" ht="12.75">
      <c r="A21" s="99"/>
      <c r="B21" s="99"/>
    </row>
    <row r="22" spans="1:2" ht="12.75">
      <c r="A22" s="209" t="s">
        <v>111</v>
      </c>
      <c r="B22" s="209"/>
    </row>
    <row r="23" spans="1:2" ht="12.75">
      <c r="A23" s="209" t="s">
        <v>112</v>
      </c>
      <c r="B23" s="209"/>
    </row>
    <row r="24" spans="1:2" ht="12.75">
      <c r="A24" s="99"/>
      <c r="B24" s="99"/>
    </row>
    <row r="25" spans="1:2" ht="12.75">
      <c r="A25" s="208" t="s">
        <v>113</v>
      </c>
      <c r="B25" s="208"/>
    </row>
    <row r="26" spans="1:2" ht="12.75">
      <c r="A26" s="208" t="s">
        <v>124</v>
      </c>
      <c r="B26" s="208"/>
    </row>
    <row r="27" spans="1:2" ht="12.75">
      <c r="A27" s="210" t="s">
        <v>125</v>
      </c>
      <c r="B27" s="210"/>
    </row>
  </sheetData>
  <sheetProtection sheet="1" objects="1" scenarios="1"/>
  <mergeCells count="12">
    <mergeCell ref="A23:B23"/>
    <mergeCell ref="A25:B25"/>
    <mergeCell ref="A26:B26"/>
    <mergeCell ref="A27:B27"/>
    <mergeCell ref="A5:B5"/>
    <mergeCell ref="A6:B6"/>
    <mergeCell ref="A7:B7"/>
    <mergeCell ref="A22:B22"/>
    <mergeCell ref="A1:B1"/>
    <mergeCell ref="A2:B2"/>
    <mergeCell ref="A3:B3"/>
    <mergeCell ref="A4:B4"/>
  </mergeCells>
  <hyperlinks>
    <hyperlink ref="A27:B27" r:id="rId1" display="http://www.coststudies.ucdavis.edu/uploads/new_cost_returns/daikonvs2005.pdf"/>
  </hyperlinks>
  <printOptions/>
  <pageMargins left="0.75" right="0.75" top="1" bottom="1" header="0.5" footer="0.5"/>
  <pageSetup horizontalDpi="600" verticalDpi="600" orientation="portrait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28">
      <selection activeCell="A1" sqref="A1:F1"/>
    </sheetView>
  </sheetViews>
  <sheetFormatPr defaultColWidth="9.140625" defaultRowHeight="12.75"/>
  <cols>
    <col min="1" max="1" width="31.421875" style="125" customWidth="1"/>
    <col min="2" max="2" width="8.28125" style="125" customWidth="1"/>
    <col min="3" max="3" width="8.28125" style="111" customWidth="1"/>
    <col min="4" max="5" width="7.7109375" style="111" customWidth="1"/>
    <col min="6" max="6" width="12.28125" style="120" customWidth="1"/>
    <col min="7" max="7" width="4.8515625" style="111" customWidth="1"/>
    <col min="8" max="8" width="5.28125" style="111" bestFit="1" customWidth="1"/>
    <col min="9" max="17" width="4.8515625" style="111" customWidth="1"/>
    <col min="18" max="18" width="4.7109375" style="111" bestFit="1" customWidth="1"/>
    <col min="19" max="19" width="5.421875" style="111" customWidth="1"/>
    <col min="20" max="21" width="5.00390625" style="111" customWidth="1"/>
    <col min="22" max="16384" width="9.140625" style="111" customWidth="1"/>
  </cols>
  <sheetData>
    <row r="1" spans="1:8" ht="12.75" customHeight="1">
      <c r="A1" s="107" t="s">
        <v>49</v>
      </c>
      <c r="B1" s="107"/>
      <c r="C1" s="107"/>
      <c r="D1" s="107"/>
      <c r="E1" s="107"/>
      <c r="F1" s="107"/>
      <c r="G1" s="110"/>
      <c r="H1" s="110"/>
    </row>
    <row r="2" spans="1:7" ht="12.75" customHeight="1">
      <c r="A2" s="107" t="s">
        <v>120</v>
      </c>
      <c r="B2" s="107"/>
      <c r="C2" s="107"/>
      <c r="D2" s="107"/>
      <c r="E2" s="107"/>
      <c r="F2" s="107"/>
      <c r="G2" s="107"/>
    </row>
    <row r="3" spans="1:6" ht="12.75" customHeight="1">
      <c r="A3" s="218" t="str">
        <f>Region_Year</f>
        <v>SAN JOAQUIN VALLEY - 2005</v>
      </c>
      <c r="B3" s="218"/>
      <c r="C3" s="218"/>
      <c r="D3" s="218"/>
      <c r="E3" s="218"/>
      <c r="F3" s="218"/>
    </row>
    <row r="4" spans="1:6" ht="12.75" customHeight="1">
      <c r="A4" s="112"/>
      <c r="B4" s="219" t="s">
        <v>67</v>
      </c>
      <c r="C4" s="219"/>
      <c r="D4" s="112"/>
      <c r="E4" s="112"/>
      <c r="F4" s="112"/>
    </row>
    <row r="5" spans="1:18" ht="12">
      <c r="A5" s="108" t="s">
        <v>89</v>
      </c>
      <c r="B5" s="109"/>
      <c r="C5" s="109"/>
      <c r="D5" s="109"/>
      <c r="E5" s="109"/>
      <c r="F5" s="109"/>
      <c r="G5" s="158" t="s">
        <v>52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8" ht="12">
      <c r="A6" s="158" t="s">
        <v>91</v>
      </c>
      <c r="B6" s="158"/>
      <c r="C6" s="158"/>
      <c r="D6" s="158"/>
      <c r="E6" s="158"/>
      <c r="F6" s="158"/>
      <c r="G6" s="158" t="s">
        <v>153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8" ht="12">
      <c r="A7" s="158" t="s">
        <v>92</v>
      </c>
      <c r="B7" s="158"/>
      <c r="C7" s="158"/>
      <c r="D7" s="158"/>
      <c r="E7" s="158"/>
      <c r="F7" s="158"/>
      <c r="G7" s="158" t="s">
        <v>154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2.75" customHeight="1">
      <c r="A8" s="113" t="s">
        <v>90</v>
      </c>
      <c r="B8" s="114"/>
      <c r="C8" s="114"/>
      <c r="D8" s="115"/>
      <c r="E8" s="115"/>
      <c r="F8" s="115"/>
      <c r="G8" s="131" t="s">
        <v>155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ht="12.75" customHeight="1">
      <c r="A9" s="117" t="s">
        <v>152</v>
      </c>
      <c r="B9" s="114"/>
      <c r="C9" s="114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</row>
    <row r="10" spans="1:18" ht="12.75" customHeight="1">
      <c r="A10" s="118"/>
      <c r="B10" s="114"/>
      <c r="C10" s="115"/>
      <c r="D10" s="115"/>
      <c r="E10" s="115"/>
      <c r="F10" s="115"/>
      <c r="G10" s="131" t="s">
        <v>50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12.75" customHeight="1">
      <c r="A11" s="238"/>
      <c r="B11" s="239" t="s">
        <v>138</v>
      </c>
      <c r="C11" s="239"/>
      <c r="D11" s="239" t="s">
        <v>139</v>
      </c>
      <c r="E11" s="239" t="s">
        <v>140</v>
      </c>
      <c r="G11" s="131" t="s">
        <v>51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5" ht="12">
      <c r="A12" s="121"/>
      <c r="B12" s="122" t="s">
        <v>141</v>
      </c>
      <c r="C12" s="122" t="s">
        <v>59</v>
      </c>
      <c r="D12" s="122" t="s">
        <v>142</v>
      </c>
      <c r="E12" s="122" t="s">
        <v>143</v>
      </c>
    </row>
    <row r="13" spans="1:19" ht="12">
      <c r="A13" s="123" t="s">
        <v>144</v>
      </c>
      <c r="B13" s="123"/>
      <c r="C13" s="123"/>
      <c r="D13" s="123"/>
      <c r="E13" s="123"/>
      <c r="S13" s="124"/>
    </row>
    <row r="14" spans="1:5" ht="12">
      <c r="A14" s="175" t="s">
        <v>145</v>
      </c>
      <c r="B14" s="176">
        <v>650</v>
      </c>
      <c r="C14" s="177" t="s">
        <v>146</v>
      </c>
      <c r="D14" s="176">
        <v>8</v>
      </c>
      <c r="E14" s="178">
        <f>B14*D14</f>
        <v>5200</v>
      </c>
    </row>
    <row r="16" spans="1:18" ht="12">
      <c r="A16" s="240"/>
      <c r="B16" s="240"/>
      <c r="C16" s="238"/>
      <c r="D16" s="238"/>
      <c r="E16" s="238"/>
      <c r="F16" s="241" t="s">
        <v>33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</row>
    <row r="17" spans="1:18" ht="12">
      <c r="A17" s="242"/>
      <c r="B17" s="243" t="s">
        <v>29</v>
      </c>
      <c r="C17" s="243" t="s">
        <v>30</v>
      </c>
      <c r="D17" s="243" t="s">
        <v>31</v>
      </c>
      <c r="E17" s="243" t="s">
        <v>32</v>
      </c>
      <c r="F17" s="126" t="s">
        <v>48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 ht="12">
      <c r="A18" s="127" t="s">
        <v>28</v>
      </c>
      <c r="B18" s="128" t="s">
        <v>34</v>
      </c>
      <c r="C18" s="128" t="s">
        <v>35</v>
      </c>
      <c r="D18" s="128" t="s">
        <v>34</v>
      </c>
      <c r="E18" s="128" t="s">
        <v>36</v>
      </c>
      <c r="F18" s="129" t="s">
        <v>34</v>
      </c>
      <c r="G18" s="121" t="s">
        <v>12</v>
      </c>
      <c r="H18" s="121" t="s">
        <v>0</v>
      </c>
      <c r="I18" s="121" t="s">
        <v>1</v>
      </c>
      <c r="J18" s="121" t="s">
        <v>2</v>
      </c>
      <c r="K18" s="121" t="s">
        <v>3</v>
      </c>
      <c r="L18" s="121" t="s">
        <v>4</v>
      </c>
      <c r="M18" s="121" t="s">
        <v>5</v>
      </c>
      <c r="N18" s="121" t="s">
        <v>6</v>
      </c>
      <c r="O18" s="121" t="s">
        <v>7</v>
      </c>
      <c r="P18" s="121" t="s">
        <v>8</v>
      </c>
      <c r="Q18" s="121" t="s">
        <v>9</v>
      </c>
      <c r="R18" s="121" t="s">
        <v>10</v>
      </c>
    </row>
    <row r="19" spans="1:6" ht="12">
      <c r="A19" s="125" t="s">
        <v>13</v>
      </c>
      <c r="B19" s="17"/>
      <c r="C19" s="17"/>
      <c r="D19" s="17"/>
      <c r="E19" s="17"/>
      <c r="F19" s="130"/>
    </row>
    <row r="20" spans="1:18" ht="12">
      <c r="A20" s="179" t="s">
        <v>126</v>
      </c>
      <c r="B20" s="180">
        <v>0</v>
      </c>
      <c r="C20" s="180">
        <v>0</v>
      </c>
      <c r="D20" s="180">
        <v>0</v>
      </c>
      <c r="E20" s="180">
        <v>100</v>
      </c>
      <c r="F20" s="134">
        <f>SUM(B20:E20)</f>
        <v>100</v>
      </c>
      <c r="G20" s="180"/>
      <c r="H20" s="180">
        <v>1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8" ht="12">
      <c r="A21" s="179" t="s">
        <v>127</v>
      </c>
      <c r="B21" s="180">
        <v>4.97</v>
      </c>
      <c r="C21" s="180">
        <v>1.33</v>
      </c>
      <c r="D21" s="180">
        <v>0</v>
      </c>
      <c r="E21" s="180">
        <v>0</v>
      </c>
      <c r="F21" s="134">
        <f>SUM(B21:E21)</f>
        <v>6.3</v>
      </c>
      <c r="G21" s="180"/>
      <c r="H21" s="180">
        <v>1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</row>
    <row r="22" spans="1:18" ht="12">
      <c r="A22" s="179" t="s">
        <v>128</v>
      </c>
      <c r="B22" s="180">
        <v>1.4</v>
      </c>
      <c r="C22" s="180">
        <v>0.39</v>
      </c>
      <c r="D22" s="180">
        <v>59.4</v>
      </c>
      <c r="E22" s="180">
        <v>0</v>
      </c>
      <c r="F22" s="134">
        <f aca="true" t="shared" si="0" ref="F22:F29">SUM(B22:E22)</f>
        <v>61.19</v>
      </c>
      <c r="G22" s="180"/>
      <c r="H22" s="180">
        <v>1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1:18" ht="12">
      <c r="A23" s="179" t="s">
        <v>129</v>
      </c>
      <c r="B23" s="180">
        <v>14.9</v>
      </c>
      <c r="C23" s="180">
        <v>4.26</v>
      </c>
      <c r="D23" s="180">
        <v>116</v>
      </c>
      <c r="E23" s="180">
        <v>0</v>
      </c>
      <c r="F23" s="134">
        <f t="shared" si="0"/>
        <v>135.16</v>
      </c>
      <c r="G23" s="180"/>
      <c r="H23" s="180"/>
      <c r="I23" s="180">
        <v>1</v>
      </c>
      <c r="J23" s="180"/>
      <c r="K23" s="180"/>
      <c r="L23" s="180"/>
      <c r="M23" s="180"/>
      <c r="N23" s="180"/>
      <c r="O23" s="180"/>
      <c r="P23" s="180"/>
      <c r="Q23" s="180"/>
      <c r="R23" s="180"/>
    </row>
    <row r="24" spans="1:18" ht="12">
      <c r="A24" s="179" t="s">
        <v>130</v>
      </c>
      <c r="B24" s="180">
        <v>97.86</v>
      </c>
      <c r="C24" s="180">
        <v>0</v>
      </c>
      <c r="D24" s="180">
        <v>52.5</v>
      </c>
      <c r="E24" s="180">
        <v>0</v>
      </c>
      <c r="F24" s="134">
        <f t="shared" si="0"/>
        <v>150.36</v>
      </c>
      <c r="G24" s="180"/>
      <c r="H24" s="180"/>
      <c r="I24" s="183">
        <v>0.23809523809523805</v>
      </c>
      <c r="J24" s="183">
        <v>0.38095238095238093</v>
      </c>
      <c r="K24" s="183">
        <v>0.38095238095238093</v>
      </c>
      <c r="L24" s="180"/>
      <c r="M24" s="180"/>
      <c r="N24" s="180"/>
      <c r="O24" s="180"/>
      <c r="P24" s="180"/>
      <c r="Q24" s="180"/>
      <c r="R24" s="180"/>
    </row>
    <row r="25" spans="1:18" ht="12">
      <c r="A25" s="179" t="s">
        <v>131</v>
      </c>
      <c r="B25" s="180">
        <v>0</v>
      </c>
      <c r="C25" s="180">
        <v>0</v>
      </c>
      <c r="D25" s="180">
        <v>57.2</v>
      </c>
      <c r="E25" s="180">
        <v>0</v>
      </c>
      <c r="F25" s="134">
        <f t="shared" si="0"/>
        <v>57.2</v>
      </c>
      <c r="G25" s="180"/>
      <c r="H25" s="180"/>
      <c r="I25" s="183">
        <v>0.25</v>
      </c>
      <c r="J25" s="183">
        <v>0.5</v>
      </c>
      <c r="K25" s="183">
        <v>0.25</v>
      </c>
      <c r="L25" s="180"/>
      <c r="M25" s="180"/>
      <c r="N25" s="180"/>
      <c r="O25" s="180"/>
      <c r="P25" s="180"/>
      <c r="Q25" s="180"/>
      <c r="R25" s="180"/>
    </row>
    <row r="26" spans="1:18" ht="12">
      <c r="A26" s="179" t="s">
        <v>132</v>
      </c>
      <c r="B26" s="180">
        <v>74.52</v>
      </c>
      <c r="C26" s="180">
        <v>59.48</v>
      </c>
      <c r="D26" s="180">
        <v>0</v>
      </c>
      <c r="E26" s="180">
        <v>0</v>
      </c>
      <c r="F26" s="134">
        <f t="shared" si="0"/>
        <v>134</v>
      </c>
      <c r="G26" s="180">
        <v>1</v>
      </c>
      <c r="H26" s="180">
        <v>1</v>
      </c>
      <c r="I26" s="180">
        <v>1</v>
      </c>
      <c r="J26" s="180">
        <v>1</v>
      </c>
      <c r="K26" s="180">
        <v>1</v>
      </c>
      <c r="L26" s="180">
        <v>1</v>
      </c>
      <c r="M26" s="180"/>
      <c r="N26" s="180"/>
      <c r="O26" s="180"/>
      <c r="P26" s="180"/>
      <c r="Q26" s="180"/>
      <c r="R26" s="180"/>
    </row>
    <row r="27" spans="1:23" ht="12">
      <c r="A27" s="181" t="s">
        <v>53</v>
      </c>
      <c r="B27" s="182">
        <v>0</v>
      </c>
      <c r="C27" s="182">
        <v>0</v>
      </c>
      <c r="D27" s="182">
        <v>0</v>
      </c>
      <c r="E27" s="182">
        <v>0</v>
      </c>
      <c r="F27" s="134">
        <f t="shared" si="0"/>
        <v>0</v>
      </c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U27" s="135"/>
      <c r="V27" s="135"/>
      <c r="W27" s="135"/>
    </row>
    <row r="28" spans="1:18" ht="12">
      <c r="A28" s="181" t="s">
        <v>53</v>
      </c>
      <c r="B28" s="182">
        <v>0</v>
      </c>
      <c r="C28" s="182">
        <v>0</v>
      </c>
      <c r="D28" s="182">
        <v>0</v>
      </c>
      <c r="E28" s="182">
        <v>0</v>
      </c>
      <c r="F28" s="134">
        <f t="shared" si="0"/>
        <v>0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</row>
    <row r="29" spans="1:18" ht="12">
      <c r="A29" s="181" t="s">
        <v>53</v>
      </c>
      <c r="B29" s="182">
        <v>0</v>
      </c>
      <c r="C29" s="182">
        <v>0</v>
      </c>
      <c r="D29" s="182">
        <v>0</v>
      </c>
      <c r="E29" s="182">
        <v>0</v>
      </c>
      <c r="F29" s="134">
        <f t="shared" si="0"/>
        <v>0</v>
      </c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</row>
    <row r="30" spans="1:18" ht="12">
      <c r="A30" s="136" t="s">
        <v>16</v>
      </c>
      <c r="B30" s="100">
        <f>SUM(B20:B29)</f>
        <v>193.64999999999998</v>
      </c>
      <c r="C30" s="100">
        <f>SUM(C20:C29)</f>
        <v>65.46</v>
      </c>
      <c r="D30" s="100">
        <f>SUM(D20:D29)</f>
        <v>285.1</v>
      </c>
      <c r="E30" s="100">
        <f>SUM(E20:E29)</f>
        <v>100</v>
      </c>
      <c r="F30" s="100">
        <f>SUM(B30:E30)</f>
        <v>644.21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18" ht="12">
      <c r="A31" s="125" t="s">
        <v>14</v>
      </c>
      <c r="B31" s="17"/>
      <c r="C31" s="17"/>
      <c r="D31" s="17"/>
      <c r="E31" s="17"/>
      <c r="F31" s="138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8" ht="12">
      <c r="A32" s="179" t="s">
        <v>133</v>
      </c>
      <c r="B32" s="101">
        <v>969</v>
      </c>
      <c r="C32" s="101">
        <v>0</v>
      </c>
      <c r="D32" s="101">
        <v>715</v>
      </c>
      <c r="E32" s="180">
        <v>0</v>
      </c>
      <c r="F32" s="134">
        <f>SUM(B32:E32)</f>
        <v>1684</v>
      </c>
      <c r="G32" s="185"/>
      <c r="H32" s="185"/>
      <c r="I32" s="185"/>
      <c r="J32" s="185"/>
      <c r="K32" s="183">
        <f>1131/1684</f>
        <v>0.6716152019002375</v>
      </c>
      <c r="L32" s="183">
        <f>1-K32</f>
        <v>0.3283847980997625</v>
      </c>
      <c r="M32" s="185"/>
      <c r="N32" s="185"/>
      <c r="O32" s="185"/>
      <c r="P32" s="185"/>
      <c r="Q32" s="185"/>
      <c r="R32" s="185"/>
    </row>
    <row r="33" spans="1:18" ht="12">
      <c r="A33" s="179" t="s">
        <v>134</v>
      </c>
      <c r="B33" s="101">
        <v>89</v>
      </c>
      <c r="C33" s="101">
        <v>75</v>
      </c>
      <c r="D33" s="101">
        <v>0</v>
      </c>
      <c r="E33" s="180">
        <v>0</v>
      </c>
      <c r="F33" s="134">
        <f>SUM(B33:E33)</f>
        <v>164</v>
      </c>
      <c r="G33" s="185"/>
      <c r="H33" s="185"/>
      <c r="I33" s="185"/>
      <c r="J33" s="185"/>
      <c r="K33" s="183">
        <f>110/165</f>
        <v>0.6666666666666666</v>
      </c>
      <c r="L33" s="183">
        <f>1-K33</f>
        <v>0.33333333333333337</v>
      </c>
      <c r="M33" s="185"/>
      <c r="N33" s="185"/>
      <c r="O33" s="185"/>
      <c r="P33" s="185"/>
      <c r="Q33" s="185"/>
      <c r="R33" s="185"/>
    </row>
    <row r="34" spans="1:18" ht="12">
      <c r="A34" s="136" t="s">
        <v>17</v>
      </c>
      <c r="B34" s="100">
        <f>SUM(B32:B33)</f>
        <v>1058</v>
      </c>
      <c r="C34" s="100">
        <f>SUM(C32:C33)</f>
        <v>75</v>
      </c>
      <c r="D34" s="100">
        <f>SUM(D32:D33)</f>
        <v>715</v>
      </c>
      <c r="E34" s="100">
        <f>SUM(E32:E33)</f>
        <v>0</v>
      </c>
      <c r="F34" s="100">
        <f>SUM(B34:E34)</f>
        <v>1848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 ht="12">
      <c r="A35" s="133" t="s">
        <v>41</v>
      </c>
      <c r="B35" s="106" t="s">
        <v>74</v>
      </c>
      <c r="C35" s="106"/>
      <c r="D35" s="106"/>
      <c r="E35" s="186">
        <v>0.0765</v>
      </c>
      <c r="F35" s="141">
        <f>'MONTHLY COSTS - OUTPUT'!N23</f>
        <v>31.6454575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 ht="12">
      <c r="A36" s="142" t="s">
        <v>18</v>
      </c>
      <c r="B36" s="143"/>
      <c r="C36" s="143"/>
      <c r="D36" s="143"/>
      <c r="E36" s="144"/>
      <c r="F36" s="100">
        <f>F30+F34+F35</f>
        <v>2523.8554575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</row>
    <row r="37" spans="1:18" ht="12">
      <c r="A37" s="145" t="s">
        <v>15</v>
      </c>
      <c r="B37" s="17"/>
      <c r="C37" s="17"/>
      <c r="D37" s="17"/>
      <c r="E37" s="17"/>
      <c r="F37" s="146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</row>
    <row r="38" spans="1:18" ht="12">
      <c r="A38" s="179" t="s">
        <v>20</v>
      </c>
      <c r="B38" s="6"/>
      <c r="C38" s="6"/>
      <c r="D38" s="6"/>
      <c r="E38" s="6"/>
      <c r="F38" s="180">
        <v>43</v>
      </c>
      <c r="G38" s="180">
        <v>1</v>
      </c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2">
      <c r="A39" s="179" t="s">
        <v>19</v>
      </c>
      <c r="B39" s="6"/>
      <c r="C39" s="6"/>
      <c r="D39" s="6"/>
      <c r="E39" s="6"/>
      <c r="F39" s="180">
        <v>10</v>
      </c>
      <c r="G39" s="180">
        <v>1</v>
      </c>
      <c r="H39" s="180">
        <v>1</v>
      </c>
      <c r="I39" s="180">
        <v>1</v>
      </c>
      <c r="J39" s="180">
        <v>1</v>
      </c>
      <c r="K39" s="180">
        <v>1</v>
      </c>
      <c r="L39" s="180">
        <v>1</v>
      </c>
      <c r="M39" s="180"/>
      <c r="N39" s="180"/>
      <c r="O39" s="180"/>
      <c r="P39" s="180"/>
      <c r="Q39" s="180"/>
      <c r="R39" s="180"/>
    </row>
    <row r="40" spans="1:18" ht="12">
      <c r="A40" s="179" t="s">
        <v>135</v>
      </c>
      <c r="B40" s="6"/>
      <c r="C40" s="6"/>
      <c r="D40" s="6"/>
      <c r="E40" s="6"/>
      <c r="F40" s="180">
        <v>300</v>
      </c>
      <c r="G40" s="180"/>
      <c r="H40" s="180"/>
      <c r="I40" s="180"/>
      <c r="J40" s="180"/>
      <c r="K40" s="180">
        <v>1</v>
      </c>
      <c r="L40" s="180"/>
      <c r="M40" s="180"/>
      <c r="N40" s="180"/>
      <c r="O40" s="180"/>
      <c r="P40" s="180"/>
      <c r="Q40" s="180"/>
      <c r="R40" s="180"/>
    </row>
    <row r="41" spans="1:18" ht="12">
      <c r="A41" s="179" t="s">
        <v>21</v>
      </c>
      <c r="B41" s="6"/>
      <c r="C41" s="6"/>
      <c r="D41" s="6"/>
      <c r="E41" s="6"/>
      <c r="F41" s="180">
        <v>5</v>
      </c>
      <c r="G41" s="180">
        <v>1</v>
      </c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2">
      <c r="A42" s="179" t="s">
        <v>22</v>
      </c>
      <c r="B42" s="6"/>
      <c r="C42" s="6"/>
      <c r="D42" s="6"/>
      <c r="E42" s="6"/>
      <c r="F42" s="180">
        <v>4</v>
      </c>
      <c r="G42" s="180">
        <v>1</v>
      </c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2">
      <c r="A43" s="179" t="s">
        <v>23</v>
      </c>
      <c r="B43" s="6"/>
      <c r="C43" s="6"/>
      <c r="D43" s="6"/>
      <c r="E43" s="6"/>
      <c r="F43" s="180">
        <v>3</v>
      </c>
      <c r="G43" s="180">
        <v>1</v>
      </c>
      <c r="H43" s="180">
        <v>1</v>
      </c>
      <c r="I43" s="180">
        <v>1</v>
      </c>
      <c r="J43" s="180">
        <v>1</v>
      </c>
      <c r="K43" s="180">
        <v>1</v>
      </c>
      <c r="L43" s="180">
        <v>1</v>
      </c>
      <c r="M43" s="180">
        <v>1</v>
      </c>
      <c r="N43" s="180">
        <v>1</v>
      </c>
      <c r="O43" s="180">
        <v>1</v>
      </c>
      <c r="P43" s="180">
        <v>1</v>
      </c>
      <c r="Q43" s="180">
        <v>1</v>
      </c>
      <c r="R43" s="180">
        <v>1</v>
      </c>
    </row>
    <row r="44" spans="1:18" ht="12">
      <c r="A44" s="136" t="s">
        <v>24</v>
      </c>
      <c r="B44" s="26"/>
      <c r="C44" s="26"/>
      <c r="D44" s="26"/>
      <c r="E44" s="26"/>
      <c r="F44" s="100">
        <f>SUM(F38:F43)</f>
        <v>365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</row>
    <row r="45" spans="1:18" ht="12">
      <c r="A45" s="136" t="s">
        <v>27</v>
      </c>
      <c r="B45" s="26"/>
      <c r="C45" s="26"/>
      <c r="D45" s="26"/>
      <c r="E45" s="26"/>
      <c r="F45" s="100">
        <f>F36+F44</f>
        <v>2888.8554575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</row>
    <row r="46" spans="1:5" ht="12">
      <c r="A46" s="76"/>
      <c r="B46" s="147"/>
      <c r="C46" s="147"/>
      <c r="D46" s="147"/>
      <c r="E46" s="147"/>
    </row>
    <row r="47" spans="1:6" ht="12">
      <c r="A47" s="213" t="s">
        <v>121</v>
      </c>
      <c r="B47" s="213"/>
      <c r="C47" s="213"/>
      <c r="D47" s="213"/>
      <c r="E47" s="213"/>
      <c r="F47" s="213"/>
    </row>
    <row r="48" spans="1:8" ht="12">
      <c r="A48" s="214" t="s">
        <v>88</v>
      </c>
      <c r="B48" s="215"/>
      <c r="C48" s="215"/>
      <c r="D48" s="215"/>
      <c r="E48" s="215"/>
      <c r="F48" s="215"/>
      <c r="G48" s="215"/>
      <c r="H48" s="215"/>
    </row>
    <row r="49" spans="1:8" ht="12">
      <c r="A49" s="216" t="s">
        <v>94</v>
      </c>
      <c r="B49" s="216"/>
      <c r="C49" s="216"/>
      <c r="D49" s="216"/>
      <c r="E49" s="216"/>
      <c r="F49" s="216"/>
      <c r="G49" s="216"/>
      <c r="H49" s="149"/>
    </row>
    <row r="50" spans="1:8" ht="12">
      <c r="A50" s="216" t="s">
        <v>93</v>
      </c>
      <c r="B50" s="216"/>
      <c r="C50" s="216"/>
      <c r="D50" s="216"/>
      <c r="E50" s="216"/>
      <c r="F50" s="216"/>
      <c r="G50" s="216"/>
      <c r="H50" s="149"/>
    </row>
    <row r="51" spans="1:8" ht="13.5" thickBot="1">
      <c r="A51" s="212" t="s">
        <v>67</v>
      </c>
      <c r="B51" s="212"/>
      <c r="C51" s="148"/>
      <c r="D51" s="148"/>
      <c r="E51" s="148"/>
      <c r="F51" s="148"/>
      <c r="G51" s="150"/>
      <c r="H51" s="150"/>
    </row>
    <row r="52" spans="1:8" ht="12.75">
      <c r="A52" s="151" t="s">
        <v>85</v>
      </c>
      <c r="B52" s="187">
        <v>2</v>
      </c>
      <c r="C52" s="152"/>
      <c r="D52" s="152"/>
      <c r="E52" s="152"/>
      <c r="F52" s="152"/>
      <c r="G52" s="150"/>
      <c r="H52" s="150"/>
    </row>
    <row r="53" spans="1:8" ht="12.75">
      <c r="A53" s="153" t="s">
        <v>118</v>
      </c>
      <c r="B53" s="188">
        <v>1</v>
      </c>
      <c r="C53" s="152"/>
      <c r="D53" s="152"/>
      <c r="E53" s="152"/>
      <c r="F53" s="152"/>
      <c r="G53" s="150"/>
      <c r="H53" s="150"/>
    </row>
    <row r="54" spans="1:8" ht="13.5" thickBot="1">
      <c r="A54" s="154" t="s">
        <v>87</v>
      </c>
      <c r="B54" s="189">
        <v>0.0689</v>
      </c>
      <c r="C54" s="155"/>
      <c r="D54" s="156"/>
      <c r="E54" s="150"/>
      <c r="F54" s="156"/>
      <c r="G54" s="150"/>
      <c r="H54" s="150"/>
    </row>
    <row r="55" spans="1:8" ht="12.75">
      <c r="A55" s="150"/>
      <c r="B55" s="150"/>
      <c r="C55" s="150"/>
      <c r="D55" s="150"/>
      <c r="E55" s="157" t="s">
        <v>77</v>
      </c>
      <c r="F55" s="150"/>
      <c r="G55" s="159" t="s">
        <v>77</v>
      </c>
      <c r="H55" s="159"/>
    </row>
    <row r="56" spans="1:8" ht="12.75" customHeight="1">
      <c r="A56" s="160"/>
      <c r="B56" s="161"/>
      <c r="C56" s="161" t="s">
        <v>75</v>
      </c>
      <c r="D56" s="157" t="s">
        <v>76</v>
      </c>
      <c r="E56" s="157" t="s">
        <v>82</v>
      </c>
      <c r="F56" s="157" t="s">
        <v>77</v>
      </c>
      <c r="G56" s="217" t="s">
        <v>82</v>
      </c>
      <c r="H56" s="217"/>
    </row>
    <row r="57" spans="1:8" ht="12.75" customHeight="1">
      <c r="A57" s="162" t="s">
        <v>78</v>
      </c>
      <c r="B57" s="163" t="s">
        <v>79</v>
      </c>
      <c r="C57" s="163" t="s">
        <v>80</v>
      </c>
      <c r="D57" s="164" t="s">
        <v>81</v>
      </c>
      <c r="E57" s="164" t="s">
        <v>86</v>
      </c>
      <c r="F57" s="164" t="s">
        <v>82</v>
      </c>
      <c r="G57" s="211" t="s">
        <v>69</v>
      </c>
      <c r="H57" s="211"/>
    </row>
    <row r="58" spans="1:8" ht="12.75">
      <c r="A58" s="165" t="s">
        <v>83</v>
      </c>
      <c r="B58" s="166"/>
      <c r="C58" s="160"/>
      <c r="D58" s="161"/>
      <c r="E58" s="161"/>
      <c r="F58" s="161"/>
      <c r="G58" s="150"/>
      <c r="H58" s="150"/>
    </row>
    <row r="59" spans="1:8" ht="12.75" customHeight="1">
      <c r="A59" s="179" t="s">
        <v>136</v>
      </c>
      <c r="B59" s="182">
        <v>455</v>
      </c>
      <c r="C59" s="182">
        <v>2</v>
      </c>
      <c r="D59" s="182">
        <v>0</v>
      </c>
      <c r="E59" s="167">
        <f>$B$54/(1-POWER((1+$B$54),-C59))</f>
        <v>0.5522486393735808</v>
      </c>
      <c r="F59" s="168">
        <f>((B59-D59)*E59)+(D59*$B$54)</f>
        <v>251.27313091497928</v>
      </c>
      <c r="G59" s="169"/>
      <c r="H59" s="170">
        <f>F59/$B$52</f>
        <v>125.63656545748964</v>
      </c>
    </row>
    <row r="60" spans="1:8" ht="12.75" customHeight="1">
      <c r="A60" s="179" t="s">
        <v>137</v>
      </c>
      <c r="B60" s="182">
        <v>1000</v>
      </c>
      <c r="C60" s="182">
        <v>5</v>
      </c>
      <c r="D60" s="182">
        <v>0</v>
      </c>
      <c r="E60" s="167">
        <f>$B$54/(1-POWER((1+$B$54),-C60))</f>
        <v>0.2431728016466843</v>
      </c>
      <c r="F60" s="168">
        <f>((B60-D60)*E60)+(D60*$B$54)</f>
        <v>243.17280164668432</v>
      </c>
      <c r="G60" s="169"/>
      <c r="H60" s="170">
        <f>F60/$B$52</f>
        <v>121.58640082334216</v>
      </c>
    </row>
    <row r="61" spans="1:8" ht="12.75" customHeight="1">
      <c r="A61" s="179" t="s">
        <v>25</v>
      </c>
      <c r="B61" s="182">
        <v>49865</v>
      </c>
      <c r="C61" s="182">
        <v>15</v>
      </c>
      <c r="D61" s="182">
        <v>15009</v>
      </c>
      <c r="E61" s="167">
        <f>$B$54/(1-POWER((1+$B$54),-C61))</f>
        <v>0.10903302640176026</v>
      </c>
      <c r="F61" s="168">
        <f>((B61-D61)*E61)+(D61*$B$54)</f>
        <v>4834.575268259756</v>
      </c>
      <c r="G61" s="169"/>
      <c r="H61" s="171">
        <f>F61/$B$52</f>
        <v>2417.287634129878</v>
      </c>
    </row>
    <row r="62" spans="1:8" ht="12.75" customHeight="1">
      <c r="A62" s="172" t="s">
        <v>84</v>
      </c>
      <c r="B62" s="173">
        <f>SUM(B59:B61)</f>
        <v>51320</v>
      </c>
      <c r="C62" s="174"/>
      <c r="D62" s="173">
        <f>SUM(D59:D61)</f>
        <v>15009</v>
      </c>
      <c r="E62" s="173"/>
      <c r="F62" s="173">
        <f>SUM(F59:F61)</f>
        <v>5329.021200821419</v>
      </c>
      <c r="G62" s="173"/>
      <c r="H62" s="173">
        <f>SUM(H59:H61)</f>
        <v>2664.5106004107097</v>
      </c>
    </row>
    <row r="64" spans="1:2" ht="12">
      <c r="A64" s="111"/>
      <c r="B64" s="111"/>
    </row>
    <row r="65" spans="1:2" ht="12">
      <c r="A65" s="111"/>
      <c r="B65" s="111"/>
    </row>
    <row r="66" spans="1:2" ht="12">
      <c r="A66" s="111"/>
      <c r="B66" s="111"/>
    </row>
    <row r="67" spans="1:2" ht="12">
      <c r="A67" s="111"/>
      <c r="B67" s="111"/>
    </row>
  </sheetData>
  <sheetProtection sheet="1" objects="1" scenarios="1"/>
  <protectedRanges>
    <protectedRange sqref="F38:R43 G32:R33 G20:R29 B59:D61 B32:E33 E35 B52:B54 B20:E29" name="Range1"/>
  </protectedRanges>
  <mergeCells count="22">
    <mergeCell ref="B35:D35"/>
    <mergeCell ref="A1:F1"/>
    <mergeCell ref="G10:R10"/>
    <mergeCell ref="A5:F5"/>
    <mergeCell ref="A3:F3"/>
    <mergeCell ref="A2:G2"/>
    <mergeCell ref="A6:F6"/>
    <mergeCell ref="A7:F7"/>
    <mergeCell ref="B4:C4"/>
    <mergeCell ref="G5:R5"/>
    <mergeCell ref="G6:R6"/>
    <mergeCell ref="G7:R7"/>
    <mergeCell ref="G55:H55"/>
    <mergeCell ref="G8:R8"/>
    <mergeCell ref="G11:R11"/>
    <mergeCell ref="G57:H57"/>
    <mergeCell ref="A51:B51"/>
    <mergeCell ref="A47:F47"/>
    <mergeCell ref="A48:H48"/>
    <mergeCell ref="A49:G49"/>
    <mergeCell ref="A50:G50"/>
    <mergeCell ref="G56:H56"/>
  </mergeCells>
  <printOptions/>
  <pageMargins left="0.75" right="0.75" top="1" bottom="1" header="0.5" footer="0.5"/>
  <pageSetup fitToHeight="2" horizontalDpi="600" verticalDpi="600" orientation="landscape" scale="86" r:id="rId1"/>
  <rowBreaks count="1" manualBreakCount="1">
    <brk id="4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:F1"/>
    </sheetView>
  </sheetViews>
  <sheetFormatPr defaultColWidth="9.140625" defaultRowHeight="12.75"/>
  <cols>
    <col min="1" max="1" width="32.00390625" style="0" customWidth="1"/>
  </cols>
  <sheetData>
    <row r="1" spans="1:18" ht="12.75">
      <c r="A1" s="223" t="s">
        <v>49</v>
      </c>
      <c r="B1" s="223"/>
      <c r="C1" s="223"/>
      <c r="D1" s="223"/>
      <c r="E1" s="223"/>
      <c r="F1" s="223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23" t="s">
        <v>120</v>
      </c>
      <c r="B2" s="223"/>
      <c r="C2" s="223"/>
      <c r="D2" s="223"/>
      <c r="E2" s="223"/>
      <c r="F2" s="223"/>
      <c r="G2" s="223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24" t="str">
        <f>Region_Year</f>
        <v>SAN JOAQUIN VALLEY - 2005</v>
      </c>
      <c r="B3" s="224"/>
      <c r="C3" s="224"/>
      <c r="D3" s="224"/>
      <c r="E3" s="224"/>
      <c r="F3" s="2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93"/>
      <c r="B4" s="75"/>
      <c r="C4" s="75"/>
      <c r="D4" s="75"/>
      <c r="E4" s="75"/>
      <c r="F4" s="75"/>
      <c r="G4" s="1"/>
      <c r="M4" s="1"/>
      <c r="N4" s="1"/>
      <c r="O4" s="1"/>
      <c r="P4" s="1"/>
      <c r="Q4" s="1"/>
      <c r="R4" s="1"/>
    </row>
    <row r="5" spans="1:18" ht="12.75">
      <c r="A5" s="244"/>
      <c r="B5" s="248" t="s">
        <v>47</v>
      </c>
      <c r="C5" s="249"/>
      <c r="D5" s="249"/>
      <c r="E5" s="249"/>
      <c r="F5" s="245" t="s">
        <v>33</v>
      </c>
      <c r="G5" s="82"/>
      <c r="H5" s="190"/>
      <c r="I5" s="190"/>
      <c r="J5" s="190"/>
      <c r="K5" s="190"/>
      <c r="L5" s="190"/>
      <c r="M5" s="82"/>
      <c r="N5" s="82"/>
      <c r="O5" s="82"/>
      <c r="P5" s="82"/>
      <c r="Q5" s="82"/>
      <c r="R5" s="82"/>
    </row>
    <row r="6" spans="1:18" ht="12.75">
      <c r="A6" s="9"/>
      <c r="B6" s="246" t="s">
        <v>29</v>
      </c>
      <c r="C6" s="246" t="s">
        <v>30</v>
      </c>
      <c r="D6" s="246" t="s">
        <v>31</v>
      </c>
      <c r="E6" s="246" t="s">
        <v>32</v>
      </c>
      <c r="F6" s="247" t="s">
        <v>48</v>
      </c>
      <c r="G6" s="82"/>
      <c r="H6" s="191"/>
      <c r="I6" s="192"/>
      <c r="J6" s="192"/>
      <c r="K6" s="192"/>
      <c r="L6" s="192"/>
      <c r="M6" s="83"/>
      <c r="N6" s="83"/>
      <c r="O6" s="83"/>
      <c r="P6" s="83"/>
      <c r="Q6" s="83"/>
      <c r="R6" s="83"/>
    </row>
    <row r="7" spans="1:18" ht="12.75">
      <c r="A7" s="13" t="s">
        <v>28</v>
      </c>
      <c r="B7" s="88" t="s">
        <v>34</v>
      </c>
      <c r="C7" s="88" t="s">
        <v>35</v>
      </c>
      <c r="D7" s="88" t="s">
        <v>34</v>
      </c>
      <c r="E7" s="88" t="s">
        <v>36</v>
      </c>
      <c r="F7" s="89" t="s">
        <v>34</v>
      </c>
      <c r="G7" s="16"/>
      <c r="H7" s="191"/>
      <c r="I7" s="192"/>
      <c r="J7" s="192"/>
      <c r="K7" s="192"/>
      <c r="L7" s="192"/>
      <c r="M7" s="16"/>
      <c r="N7" s="16"/>
      <c r="O7" s="16"/>
      <c r="P7" s="16"/>
      <c r="Q7" s="16"/>
      <c r="R7" s="16"/>
    </row>
    <row r="8" spans="1:18" ht="12.75">
      <c r="A8" s="4" t="s">
        <v>13</v>
      </c>
      <c r="B8" s="10"/>
      <c r="C8" s="10"/>
      <c r="D8" s="10"/>
      <c r="E8" s="10"/>
      <c r="F8" s="10"/>
      <c r="G8" s="12"/>
      <c r="H8" s="191"/>
      <c r="I8" s="191"/>
      <c r="J8" s="191"/>
      <c r="K8" s="191"/>
      <c r="L8" s="191"/>
      <c r="M8" s="12"/>
      <c r="N8" s="12"/>
      <c r="O8" s="12"/>
      <c r="P8" s="12"/>
      <c r="Q8" s="12"/>
      <c r="R8" s="12"/>
    </row>
    <row r="9" spans="1:18" ht="12.75">
      <c r="A9" s="4" t="str">
        <f>' COSTS PER ACRE - USER INPUT'!A20</f>
        <v>Land Prep: Plow, Disc, List</v>
      </c>
      <c r="B9" s="102">
        <f>' COSTS PER ACRE - USER INPUT'!B20</f>
        <v>0</v>
      </c>
      <c r="C9" s="102">
        <f>' COSTS PER ACRE - USER INPUT'!C20</f>
        <v>0</v>
      </c>
      <c r="D9" s="102">
        <f>' COSTS PER ACRE - USER INPUT'!D20</f>
        <v>0</v>
      </c>
      <c r="E9" s="102">
        <f>' COSTS PER ACRE - USER INPUT'!E20</f>
        <v>100</v>
      </c>
      <c r="F9" s="102">
        <f>' COSTS PER ACRE - USER INPUT'!F20</f>
        <v>100</v>
      </c>
      <c r="G9" s="6"/>
      <c r="H9" s="191"/>
      <c r="I9" s="191"/>
      <c r="J9" s="191"/>
      <c r="K9" s="191"/>
      <c r="L9" s="191"/>
      <c r="M9" s="6"/>
      <c r="N9" s="6"/>
      <c r="O9" s="6"/>
      <c r="P9" s="6"/>
      <c r="Q9" s="6"/>
      <c r="R9" s="6"/>
    </row>
    <row r="10" spans="1:18" ht="12.75">
      <c r="A10" s="4" t="str">
        <f>' COSTS PER ACRE - USER INPUT'!A21</f>
        <v>Land Prep: Flatten Bed Tops</v>
      </c>
      <c r="B10" s="102">
        <f>' COSTS PER ACRE - USER INPUT'!B21</f>
        <v>4.97</v>
      </c>
      <c r="C10" s="102">
        <f>' COSTS PER ACRE - USER INPUT'!C21</f>
        <v>1.33</v>
      </c>
      <c r="D10" s="102">
        <f>' COSTS PER ACRE - USER INPUT'!D21</f>
        <v>0</v>
      </c>
      <c r="E10" s="102">
        <f>' COSTS PER ACRE - USER INPUT'!E21</f>
        <v>0</v>
      </c>
      <c r="F10" s="102">
        <f>' COSTS PER ACRE - USER INPUT'!F21</f>
        <v>6.3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4" t="str">
        <f>' COSTS PER ACRE - USER INPUT'!A22</f>
        <v>Fertilize: Preplant (15-15-15)</v>
      </c>
      <c r="B11" s="102">
        <f>' COSTS PER ACRE - USER INPUT'!B22</f>
        <v>1.4</v>
      </c>
      <c r="C11" s="102">
        <f>' COSTS PER ACRE - USER INPUT'!C22</f>
        <v>0.39</v>
      </c>
      <c r="D11" s="102">
        <f>' COSTS PER ACRE - USER INPUT'!D22</f>
        <v>59.4</v>
      </c>
      <c r="E11" s="102">
        <f>' COSTS PER ACRE - USER INPUT'!E22</f>
        <v>0</v>
      </c>
      <c r="F11" s="102">
        <f>' COSTS PER ACRE - USER INPUT'!F22</f>
        <v>61.19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4" t="str">
        <f>' COSTS PER ACRE - USER INPUT'!A23</f>
        <v>Plant: Seed</v>
      </c>
      <c r="B12" s="102">
        <f>' COSTS PER ACRE - USER INPUT'!B23</f>
        <v>14.9</v>
      </c>
      <c r="C12" s="102">
        <f>' COSTS PER ACRE - USER INPUT'!C23</f>
        <v>4.26</v>
      </c>
      <c r="D12" s="102">
        <f>' COSTS PER ACRE - USER INPUT'!D23</f>
        <v>116</v>
      </c>
      <c r="E12" s="102">
        <f>' COSTS PER ACRE - USER INPUT'!E23</f>
        <v>0</v>
      </c>
      <c r="F12" s="102">
        <f>' COSTS PER ACRE - USER INPUT'!F23</f>
        <v>135.16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4" t="str">
        <f>' COSTS PER ACRE - USER INPUT'!A24</f>
        <v>Irrigate: (water &amp; labor)</v>
      </c>
      <c r="B13" s="102">
        <f>' COSTS PER ACRE - USER INPUT'!B24</f>
        <v>97.86</v>
      </c>
      <c r="C13" s="102">
        <f>' COSTS PER ACRE - USER INPUT'!C24</f>
        <v>0</v>
      </c>
      <c r="D13" s="102">
        <f>' COSTS PER ACRE - USER INPUT'!D24</f>
        <v>52.5</v>
      </c>
      <c r="E13" s="102">
        <f>' COSTS PER ACRE - USER INPUT'!E24</f>
        <v>0</v>
      </c>
      <c r="F13" s="102">
        <f>' COSTS PER ACRE - USER INPUT'!F24</f>
        <v>150.36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4" t="str">
        <f>' COSTS PER ACRE - USER INPUT'!A25</f>
        <v>Fertilize: UN32</v>
      </c>
      <c r="B14" s="102">
        <f>' COSTS PER ACRE - USER INPUT'!B25</f>
        <v>0</v>
      </c>
      <c r="C14" s="102">
        <f>' COSTS PER ACRE - USER INPUT'!C25</f>
        <v>0</v>
      </c>
      <c r="D14" s="102">
        <f>' COSTS PER ACRE - USER INPUT'!D25</f>
        <v>57.2</v>
      </c>
      <c r="E14" s="102">
        <f>' COSTS PER ACRE - USER INPUT'!E25</f>
        <v>0</v>
      </c>
      <c r="F14" s="102">
        <f>' COSTS PER ACRE - USER INPUT'!F25</f>
        <v>57.2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4" t="str">
        <f>' COSTS PER ACRE - USER INPUT'!A26</f>
        <v>Miscellaneous Pickup Use</v>
      </c>
      <c r="B15" s="102">
        <f>' COSTS PER ACRE - USER INPUT'!B26</f>
        <v>74.52</v>
      </c>
      <c r="C15" s="102">
        <f>' COSTS PER ACRE - USER INPUT'!C26</f>
        <v>59.48</v>
      </c>
      <c r="D15" s="102">
        <f>' COSTS PER ACRE - USER INPUT'!D26</f>
        <v>0</v>
      </c>
      <c r="E15" s="102">
        <f>' COSTS PER ACRE - USER INPUT'!E26</f>
        <v>0</v>
      </c>
      <c r="F15" s="102">
        <f>' COSTS PER ACRE - USER INPUT'!F26</f>
        <v>134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4" t="str">
        <f>' COSTS PER ACRE - USER INPUT'!A27</f>
        <v>Additional operation</v>
      </c>
      <c r="B16" s="102">
        <f>' COSTS PER ACRE - USER INPUT'!B27</f>
        <v>0</v>
      </c>
      <c r="C16" s="102">
        <f>' COSTS PER ACRE - USER INPUT'!C27</f>
        <v>0</v>
      </c>
      <c r="D16" s="102">
        <f>' COSTS PER ACRE - USER INPUT'!D27</f>
        <v>0</v>
      </c>
      <c r="E16" s="102">
        <f>' COSTS PER ACRE - USER INPUT'!E27</f>
        <v>0</v>
      </c>
      <c r="F16" s="102">
        <f>' COSTS PER ACRE - USER INPUT'!F27</f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4" t="str">
        <f>' COSTS PER ACRE - USER INPUT'!A28</f>
        <v>Additional operation</v>
      </c>
      <c r="B17" s="102">
        <f>' COSTS PER ACRE - USER INPUT'!B28</f>
        <v>0</v>
      </c>
      <c r="C17" s="102">
        <f>' COSTS PER ACRE - USER INPUT'!C28</f>
        <v>0</v>
      </c>
      <c r="D17" s="102">
        <f>' COSTS PER ACRE - USER INPUT'!D28</f>
        <v>0</v>
      </c>
      <c r="E17" s="102">
        <f>' COSTS PER ACRE - USER INPUT'!E28</f>
        <v>0</v>
      </c>
      <c r="F17" s="102">
        <f>' COSTS PER ACRE - USER INPUT'!F28</f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4" t="str">
        <f>' COSTS PER ACRE - USER INPUT'!A29</f>
        <v>Additional operation</v>
      </c>
      <c r="B18" s="102">
        <f>' COSTS PER ACRE - USER INPUT'!B29</f>
        <v>0</v>
      </c>
      <c r="C18" s="102">
        <f>' COSTS PER ACRE - USER INPUT'!C29</f>
        <v>0</v>
      </c>
      <c r="D18" s="102">
        <f>' COSTS PER ACRE - USER INPUT'!D29</f>
        <v>0</v>
      </c>
      <c r="E18" s="102">
        <f>' COSTS PER ACRE - USER INPUT'!E29</f>
        <v>0</v>
      </c>
      <c r="F18" s="102">
        <f>' COSTS PER ACRE - USER INPUT'!F29</f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.75">
      <c r="A19" s="14" t="s">
        <v>16</v>
      </c>
      <c r="B19" s="250">
        <f>SUM(B9:B18)</f>
        <v>193.64999999999998</v>
      </c>
      <c r="C19" s="250">
        <f>SUM(C9:C18)</f>
        <v>65.46</v>
      </c>
      <c r="D19" s="250">
        <f>SUM(D9:D18)</f>
        <v>285.1</v>
      </c>
      <c r="E19" s="250">
        <f>SUM(E9:E18)</f>
        <v>100</v>
      </c>
      <c r="F19" s="250">
        <f>SUM(F9:F18)</f>
        <v>644.21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ht="12.75">
      <c r="A20" s="4" t="s">
        <v>14</v>
      </c>
      <c r="B20" s="10"/>
      <c r="C20" s="10"/>
      <c r="D20" s="10"/>
      <c r="E20" s="10"/>
      <c r="F20" s="90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12.75">
      <c r="A21" s="4" t="str">
        <f>' COSTS PER ACRE - USER INPUT'!A32</f>
        <v>Hand Pick, Wash &amp; Pack</v>
      </c>
      <c r="B21" s="102">
        <f>' COSTS PER ACRE - USER INPUT'!B32</f>
        <v>969</v>
      </c>
      <c r="C21" s="102">
        <f>' COSTS PER ACRE - USER INPUT'!C32</f>
        <v>0</v>
      </c>
      <c r="D21" s="102">
        <f>' COSTS PER ACRE - USER INPUT'!D32</f>
        <v>715</v>
      </c>
      <c r="E21" s="102">
        <f>' COSTS PER ACRE - USER INPUT'!E32</f>
        <v>0</v>
      </c>
      <c r="F21" s="102">
        <f>' COSTS PER ACRE - USER INPUT'!F32</f>
        <v>1684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4" t="str">
        <f>' COSTS PER ACRE - USER INPUT'!A33</f>
        <v>Haul</v>
      </c>
      <c r="B22" s="102">
        <f>' COSTS PER ACRE - USER INPUT'!B33</f>
        <v>89</v>
      </c>
      <c r="C22" s="102">
        <f>' COSTS PER ACRE - USER INPUT'!C33</f>
        <v>75</v>
      </c>
      <c r="D22" s="102">
        <f>' COSTS PER ACRE - USER INPUT'!D33</f>
        <v>0</v>
      </c>
      <c r="E22" s="102">
        <f>' COSTS PER ACRE - USER INPUT'!E33</f>
        <v>0</v>
      </c>
      <c r="F22" s="102">
        <f>' COSTS PER ACRE - USER INPUT'!F33</f>
        <v>164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14" t="s">
        <v>17</v>
      </c>
      <c r="B23" s="105">
        <f>SUM(B21:B22)</f>
        <v>1058</v>
      </c>
      <c r="C23" s="105">
        <f>SUM(C21:C22)</f>
        <v>75</v>
      </c>
      <c r="D23" s="105">
        <f>SUM(D21:D22)</f>
        <v>715</v>
      </c>
      <c r="E23" s="105">
        <f>SUM(E21:E22)</f>
        <v>0</v>
      </c>
      <c r="F23" s="104">
        <f>SUM(B23:E23)</f>
        <v>1848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7" t="s">
        <v>73</v>
      </c>
      <c r="B24" s="221" t="s">
        <v>74</v>
      </c>
      <c r="C24" s="221"/>
      <c r="D24" s="222"/>
      <c r="E24" s="94">
        <f>' COSTS PER ACRE - USER INPUT'!E35</f>
        <v>0.0765</v>
      </c>
      <c r="F24" s="102">
        <f>' COSTS PER ACRE - USER INPUT'!F35</f>
        <v>31.6454575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251" t="s">
        <v>18</v>
      </c>
      <c r="B25" s="105">
        <f>B19+B23</f>
        <v>1251.65</v>
      </c>
      <c r="C25" s="105">
        <f>C19+C23</f>
        <v>140.45999999999998</v>
      </c>
      <c r="D25" s="105">
        <f>D19+D23</f>
        <v>1000.1</v>
      </c>
      <c r="E25" s="105">
        <f>E19+E23</f>
        <v>100</v>
      </c>
      <c r="F25" s="105">
        <f>F19+F23+F24</f>
        <v>2523.8554575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9" t="s">
        <v>15</v>
      </c>
      <c r="B26" s="6"/>
      <c r="C26" s="6"/>
      <c r="D26" s="6"/>
      <c r="E26" s="6"/>
      <c r="F26" s="7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4" t="str">
        <f>' COSTS PER ACRE - USER INPUT'!A38</f>
        <v>Liability Insurance</v>
      </c>
      <c r="B27" s="6"/>
      <c r="C27" s="6"/>
      <c r="D27" s="6"/>
      <c r="E27" s="6"/>
      <c r="F27" s="87">
        <f>' COSTS PER ACRE - USER INPUT'!F38</f>
        <v>43</v>
      </c>
      <c r="G27" s="1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4" t="str">
        <f>' COSTS PER ACRE - USER INPUT'!A39</f>
        <v>Office Expense</v>
      </c>
      <c r="B28" s="6"/>
      <c r="C28" s="6"/>
      <c r="D28" s="6"/>
      <c r="E28" s="6"/>
      <c r="F28" s="87">
        <f>' COSTS PER ACRE - USER INPUT'!F39</f>
        <v>10</v>
      </c>
      <c r="G28" s="1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4" t="str">
        <f>' COSTS PER ACRE - USER INPUT'!A40</f>
        <v>Land Rent</v>
      </c>
      <c r="B29" s="6"/>
      <c r="C29" s="6"/>
      <c r="D29" s="6"/>
      <c r="E29" s="6"/>
      <c r="F29" s="87">
        <f>' COSTS PER ACRE - USER INPUT'!F40</f>
        <v>300</v>
      </c>
      <c r="G29" s="12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4" t="str">
        <f>' COSTS PER ACRE - USER INPUT'!A41</f>
        <v>Property Taxes</v>
      </c>
      <c r="B30" s="6"/>
      <c r="C30" s="6"/>
      <c r="D30" s="6"/>
      <c r="E30" s="6"/>
      <c r="F30" s="87">
        <f>' COSTS PER ACRE - USER INPUT'!F41</f>
        <v>5</v>
      </c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4" t="str">
        <f>' COSTS PER ACRE - USER INPUT'!A42</f>
        <v>Property Insurance</v>
      </c>
      <c r="B31" s="6"/>
      <c r="C31" s="6"/>
      <c r="D31" s="6"/>
      <c r="E31" s="6"/>
      <c r="F31" s="87">
        <f>' COSTS PER ACRE - USER INPUT'!F42</f>
        <v>4</v>
      </c>
      <c r="G31" s="1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4" t="str">
        <f>' COSTS PER ACRE - USER INPUT'!A43</f>
        <v>Investment Repairs</v>
      </c>
      <c r="B32" s="6"/>
      <c r="C32" s="6"/>
      <c r="D32" s="6"/>
      <c r="E32" s="6"/>
      <c r="F32" s="87">
        <f>' COSTS PER ACRE - USER INPUT'!F43</f>
        <v>3</v>
      </c>
      <c r="G32" s="12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14" t="s">
        <v>24</v>
      </c>
      <c r="B33" s="25"/>
      <c r="C33" s="25"/>
      <c r="D33" s="25"/>
      <c r="E33" s="25"/>
      <c r="F33" s="104">
        <f>SUM(F27:F32)</f>
        <v>365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14" t="s">
        <v>27</v>
      </c>
      <c r="B34" s="15"/>
      <c r="C34" s="15"/>
      <c r="D34" s="15"/>
      <c r="E34" s="15"/>
      <c r="F34" s="104">
        <f>F25+F33</f>
        <v>2888.8554575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91"/>
      <c r="B35" s="12"/>
      <c r="C35" s="12"/>
      <c r="D35" s="12"/>
      <c r="E35" s="12"/>
      <c r="F35" s="9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sheetProtection sheet="1" objects="1" scenarios="1"/>
  <mergeCells count="5">
    <mergeCell ref="B24:D24"/>
    <mergeCell ref="B5:E5"/>
    <mergeCell ref="A1:F1"/>
    <mergeCell ref="A2:G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M39" sqref="M39"/>
    </sheetView>
  </sheetViews>
  <sheetFormatPr defaultColWidth="9.140625" defaultRowHeight="12.75"/>
  <cols>
    <col min="1" max="1" width="27.7109375" style="12" customWidth="1"/>
    <col min="2" max="14" width="7.140625" style="12" customWidth="1"/>
    <col min="15" max="16384" width="9.140625" style="12" customWidth="1"/>
  </cols>
  <sheetData>
    <row r="1" spans="1:14" ht="11.25" customHeight="1">
      <c r="A1" s="225" t="s">
        <v>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1.25" customHeight="1">
      <c r="A2" s="225" t="s">
        <v>122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2.75" customHeight="1">
      <c r="A3" s="225" t="str">
        <f>County_Region</f>
        <v>SAN JOAQUIN VALLEY - 2005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s="21" customFormat="1" ht="12.75" customHeight="1">
      <c r="A4" s="23"/>
      <c r="B4" s="2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1.25" customHeight="1">
      <c r="A5" s="18" t="s">
        <v>147</v>
      </c>
      <c r="B5" s="19" t="s">
        <v>12</v>
      </c>
      <c r="C5" s="19" t="s">
        <v>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</row>
    <row r="6" spans="1:14" ht="11.25" customHeight="1">
      <c r="A6" s="18" t="s">
        <v>148</v>
      </c>
      <c r="B6" s="19">
        <v>2005</v>
      </c>
      <c r="C6" s="19">
        <v>2005</v>
      </c>
      <c r="D6" s="19">
        <v>2005</v>
      </c>
      <c r="E6" s="19">
        <v>2005</v>
      </c>
      <c r="F6" s="19">
        <v>2005</v>
      </c>
      <c r="G6" s="19">
        <v>2005</v>
      </c>
      <c r="H6" s="19">
        <v>2005</v>
      </c>
      <c r="I6" s="19">
        <v>2005</v>
      </c>
      <c r="J6" s="19">
        <v>2005</v>
      </c>
      <c r="K6" s="19">
        <v>2005</v>
      </c>
      <c r="L6" s="19">
        <v>2005</v>
      </c>
      <c r="M6" s="19">
        <v>2005</v>
      </c>
      <c r="N6" s="19"/>
    </row>
    <row r="7" ht="11.25" customHeight="1">
      <c r="A7" s="12" t="s">
        <v>13</v>
      </c>
    </row>
    <row r="8" spans="1:14" ht="11.25" customHeight="1">
      <c r="A8" s="7" t="str">
        <f>' COSTS PER ACRE - USER INPUT'!A20</f>
        <v>Land Prep: Plow, Disc, List</v>
      </c>
      <c r="B8" s="102">
        <f>(' COSTS PER ACRE - USER INPUT'!$F20/SUM(' COSTS PER ACRE - USER INPUT'!$G20:$R20)*' COSTS PER ACRE - USER INPUT'!G20)</f>
        <v>0</v>
      </c>
      <c r="C8" s="102">
        <f>(' COSTS PER ACRE - USER INPUT'!$F20/SUM(' COSTS PER ACRE - USER INPUT'!$G20:$R20)*' COSTS PER ACRE - USER INPUT'!H20)</f>
        <v>100</v>
      </c>
      <c r="D8" s="102">
        <f>(' COSTS PER ACRE - USER INPUT'!$F20/SUM(' COSTS PER ACRE - USER INPUT'!$G20:$R20)*' COSTS PER ACRE - USER INPUT'!I20)</f>
        <v>0</v>
      </c>
      <c r="E8" s="102">
        <f>(' COSTS PER ACRE - USER INPUT'!$F20/SUM(' COSTS PER ACRE - USER INPUT'!$G20:$R20)*' COSTS PER ACRE - USER INPUT'!J20)</f>
        <v>0</v>
      </c>
      <c r="F8" s="102">
        <f>(' COSTS PER ACRE - USER INPUT'!$F20/SUM(' COSTS PER ACRE - USER INPUT'!$G20:$R20)*' COSTS PER ACRE - USER INPUT'!K20)</f>
        <v>0</v>
      </c>
      <c r="G8" s="102">
        <f>(' COSTS PER ACRE - USER INPUT'!$F20/SUM(' COSTS PER ACRE - USER INPUT'!$G20:$R20)*' COSTS PER ACRE - USER INPUT'!L20)</f>
        <v>0</v>
      </c>
      <c r="H8" s="102">
        <f>(' COSTS PER ACRE - USER INPUT'!$F20/SUM(' COSTS PER ACRE - USER INPUT'!$G20:$R20)*' COSTS PER ACRE - USER INPUT'!M20)</f>
        <v>0</v>
      </c>
      <c r="I8" s="102">
        <f>(' COSTS PER ACRE - USER INPUT'!$F20/SUM(' COSTS PER ACRE - USER INPUT'!$G20:$R20)*' COSTS PER ACRE - USER INPUT'!N20)</f>
        <v>0</v>
      </c>
      <c r="J8" s="102">
        <f>(' COSTS PER ACRE - USER INPUT'!$F20/SUM(' COSTS PER ACRE - USER INPUT'!$G20:$R20)*' COSTS PER ACRE - USER INPUT'!O20)</f>
        <v>0</v>
      </c>
      <c r="K8" s="102">
        <f>(' COSTS PER ACRE - USER INPUT'!$F20/SUM(' COSTS PER ACRE - USER INPUT'!$G20:$R20)*' COSTS PER ACRE - USER INPUT'!P20)</f>
        <v>0</v>
      </c>
      <c r="L8" s="102">
        <f>(' COSTS PER ACRE - USER INPUT'!$F20/SUM(' COSTS PER ACRE - USER INPUT'!$G20:$R20)*' COSTS PER ACRE - USER INPUT'!Q20)</f>
        <v>0</v>
      </c>
      <c r="M8" s="102">
        <f>(' COSTS PER ACRE - USER INPUT'!$F20/SUM(' COSTS PER ACRE - USER INPUT'!$G20:$R20)*' COSTS PER ACRE - USER INPUT'!R20)</f>
        <v>0</v>
      </c>
      <c r="N8" s="102">
        <f>SUM(B8:M8)</f>
        <v>100</v>
      </c>
    </row>
    <row r="9" spans="1:14" ht="11.25" customHeight="1">
      <c r="A9" s="7" t="str">
        <f>' COSTS PER ACRE - USER INPUT'!A21</f>
        <v>Land Prep: Flatten Bed Tops</v>
      </c>
      <c r="B9" s="102">
        <f>(' COSTS PER ACRE - USER INPUT'!$F21/SUM(' COSTS PER ACRE - USER INPUT'!$G21:$R21)*' COSTS PER ACRE - USER INPUT'!G21)</f>
        <v>0</v>
      </c>
      <c r="C9" s="102">
        <f>(' COSTS PER ACRE - USER INPUT'!$F21/SUM(' COSTS PER ACRE - USER INPUT'!$G21:$R21)*' COSTS PER ACRE - USER INPUT'!H21)</f>
        <v>6.3</v>
      </c>
      <c r="D9" s="102">
        <f>(' COSTS PER ACRE - USER INPUT'!$F21/SUM(' COSTS PER ACRE - USER INPUT'!$G21:$R21)*' COSTS PER ACRE - USER INPUT'!I21)</f>
        <v>0</v>
      </c>
      <c r="E9" s="102">
        <f>(' COSTS PER ACRE - USER INPUT'!$F21/SUM(' COSTS PER ACRE - USER INPUT'!$G21:$R21)*' COSTS PER ACRE - USER INPUT'!J21)</f>
        <v>0</v>
      </c>
      <c r="F9" s="102">
        <f>(' COSTS PER ACRE - USER INPUT'!$F21/SUM(' COSTS PER ACRE - USER INPUT'!$G21:$R21)*' COSTS PER ACRE - USER INPUT'!K21)</f>
        <v>0</v>
      </c>
      <c r="G9" s="102">
        <f>(' COSTS PER ACRE - USER INPUT'!$F21/SUM(' COSTS PER ACRE - USER INPUT'!$G21:$R21)*' COSTS PER ACRE - USER INPUT'!L21)</f>
        <v>0</v>
      </c>
      <c r="H9" s="102">
        <f>(' COSTS PER ACRE - USER INPUT'!$F21/SUM(' COSTS PER ACRE - USER INPUT'!$G21:$R21)*' COSTS PER ACRE - USER INPUT'!M21)</f>
        <v>0</v>
      </c>
      <c r="I9" s="102">
        <f>(' COSTS PER ACRE - USER INPUT'!$F21/SUM(' COSTS PER ACRE - USER INPUT'!$G21:$R21)*' COSTS PER ACRE - USER INPUT'!N21)</f>
        <v>0</v>
      </c>
      <c r="J9" s="102">
        <f>(' COSTS PER ACRE - USER INPUT'!$F21/SUM(' COSTS PER ACRE - USER INPUT'!$G21:$R21)*' COSTS PER ACRE - USER INPUT'!O21)</f>
        <v>0</v>
      </c>
      <c r="K9" s="102">
        <f>(' COSTS PER ACRE - USER INPUT'!$F21/SUM(' COSTS PER ACRE - USER INPUT'!$G21:$R21)*' COSTS PER ACRE - USER INPUT'!P21)</f>
        <v>0</v>
      </c>
      <c r="L9" s="102">
        <f>(' COSTS PER ACRE - USER INPUT'!$F21/SUM(' COSTS PER ACRE - USER INPUT'!$G21:$R21)*' COSTS PER ACRE - USER INPUT'!Q21)</f>
        <v>0</v>
      </c>
      <c r="M9" s="102">
        <f>(' COSTS PER ACRE - USER INPUT'!$F21/SUM(' COSTS PER ACRE - USER INPUT'!$G21:$R21)*' COSTS PER ACRE - USER INPUT'!R21)</f>
        <v>0</v>
      </c>
      <c r="N9" s="102">
        <f aca="true" t="shared" si="0" ref="N9:N17">SUM(B9:M9)</f>
        <v>6.3</v>
      </c>
    </row>
    <row r="10" spans="1:14" ht="11.25" customHeight="1">
      <c r="A10" s="7" t="str">
        <f>' COSTS PER ACRE - USER INPUT'!A22</f>
        <v>Fertilize: Preplant (15-15-15)</v>
      </c>
      <c r="B10" s="102">
        <f>(' COSTS PER ACRE - USER INPUT'!$F22/SUM(' COSTS PER ACRE - USER INPUT'!$G22:$R22)*' COSTS PER ACRE - USER INPUT'!G22)</f>
        <v>0</v>
      </c>
      <c r="C10" s="102">
        <f>(' COSTS PER ACRE - USER INPUT'!$F22/SUM(' COSTS PER ACRE - USER INPUT'!$G22:$R22)*' COSTS PER ACRE - USER INPUT'!H22)</f>
        <v>61.19</v>
      </c>
      <c r="D10" s="102">
        <f>(' COSTS PER ACRE - USER INPUT'!$F22/SUM(' COSTS PER ACRE - USER INPUT'!$G22:$R22)*' COSTS PER ACRE - USER INPUT'!I22)</f>
        <v>0</v>
      </c>
      <c r="E10" s="102">
        <f>(' COSTS PER ACRE - USER INPUT'!$F22/SUM(' COSTS PER ACRE - USER INPUT'!$G22:$R22)*' COSTS PER ACRE - USER INPUT'!J22)</f>
        <v>0</v>
      </c>
      <c r="F10" s="102">
        <f>(' COSTS PER ACRE - USER INPUT'!$F22/SUM(' COSTS PER ACRE - USER INPUT'!$G22:$R22)*' COSTS PER ACRE - USER INPUT'!K22)</f>
        <v>0</v>
      </c>
      <c r="G10" s="102">
        <f>(' COSTS PER ACRE - USER INPUT'!$F22/SUM(' COSTS PER ACRE - USER INPUT'!$G22:$R22)*' COSTS PER ACRE - USER INPUT'!L22)</f>
        <v>0</v>
      </c>
      <c r="H10" s="102">
        <f>(' COSTS PER ACRE - USER INPUT'!$F22/SUM(' COSTS PER ACRE - USER INPUT'!$G22:$R22)*' COSTS PER ACRE - USER INPUT'!M22)</f>
        <v>0</v>
      </c>
      <c r="I10" s="102">
        <f>(' COSTS PER ACRE - USER INPUT'!$F22/SUM(' COSTS PER ACRE - USER INPUT'!$G22:$R22)*' COSTS PER ACRE - USER INPUT'!N22)</f>
        <v>0</v>
      </c>
      <c r="J10" s="102">
        <f>(' COSTS PER ACRE - USER INPUT'!$F22/SUM(' COSTS PER ACRE - USER INPUT'!$G22:$R22)*' COSTS PER ACRE - USER INPUT'!O22)</f>
        <v>0</v>
      </c>
      <c r="K10" s="102">
        <f>(' COSTS PER ACRE - USER INPUT'!$F22/SUM(' COSTS PER ACRE - USER INPUT'!$G22:$R22)*' COSTS PER ACRE - USER INPUT'!P22)</f>
        <v>0</v>
      </c>
      <c r="L10" s="102">
        <f>(' COSTS PER ACRE - USER INPUT'!$F22/SUM(' COSTS PER ACRE - USER INPUT'!$G22:$R22)*' COSTS PER ACRE - USER INPUT'!Q22)</f>
        <v>0</v>
      </c>
      <c r="M10" s="102">
        <f>(' COSTS PER ACRE - USER INPUT'!$F22/SUM(' COSTS PER ACRE - USER INPUT'!$G22:$R22)*' COSTS PER ACRE - USER INPUT'!R22)</f>
        <v>0</v>
      </c>
      <c r="N10" s="102">
        <f t="shared" si="0"/>
        <v>61.19</v>
      </c>
    </row>
    <row r="11" spans="1:14" ht="11.25" customHeight="1">
      <c r="A11" s="7" t="str">
        <f>' COSTS PER ACRE - USER INPUT'!A23</f>
        <v>Plant: Seed</v>
      </c>
      <c r="B11" s="102">
        <f>(' COSTS PER ACRE - USER INPUT'!$F23/SUM(' COSTS PER ACRE - USER INPUT'!$G23:$R23)*' COSTS PER ACRE - USER INPUT'!G23)</f>
        <v>0</v>
      </c>
      <c r="C11" s="102">
        <f>(' COSTS PER ACRE - USER INPUT'!$F23/SUM(' COSTS PER ACRE - USER INPUT'!$G23:$R23)*' COSTS PER ACRE - USER INPUT'!H23)</f>
        <v>0</v>
      </c>
      <c r="D11" s="102">
        <f>(' COSTS PER ACRE - USER INPUT'!$F23/SUM(' COSTS PER ACRE - USER INPUT'!$G23:$R23)*' COSTS PER ACRE - USER INPUT'!I23)</f>
        <v>135.16</v>
      </c>
      <c r="E11" s="102">
        <f>(' COSTS PER ACRE - USER INPUT'!$F23/SUM(' COSTS PER ACRE - USER INPUT'!$G23:$R23)*' COSTS PER ACRE - USER INPUT'!J23)</f>
        <v>0</v>
      </c>
      <c r="F11" s="102">
        <f>(' COSTS PER ACRE - USER INPUT'!$F23/SUM(' COSTS PER ACRE - USER INPUT'!$G23:$R23)*' COSTS PER ACRE - USER INPUT'!K23)</f>
        <v>0</v>
      </c>
      <c r="G11" s="102">
        <f>(' COSTS PER ACRE - USER INPUT'!$F23/SUM(' COSTS PER ACRE - USER INPUT'!$G23:$R23)*' COSTS PER ACRE - USER INPUT'!L23)</f>
        <v>0</v>
      </c>
      <c r="H11" s="102">
        <f>(' COSTS PER ACRE - USER INPUT'!$F23/SUM(' COSTS PER ACRE - USER INPUT'!$G23:$R23)*' COSTS PER ACRE - USER INPUT'!M23)</f>
        <v>0</v>
      </c>
      <c r="I11" s="102">
        <f>(' COSTS PER ACRE - USER INPUT'!$F23/SUM(' COSTS PER ACRE - USER INPUT'!$G23:$R23)*' COSTS PER ACRE - USER INPUT'!N23)</f>
        <v>0</v>
      </c>
      <c r="J11" s="102">
        <f>(' COSTS PER ACRE - USER INPUT'!$F23/SUM(' COSTS PER ACRE - USER INPUT'!$G23:$R23)*' COSTS PER ACRE - USER INPUT'!O23)</f>
        <v>0</v>
      </c>
      <c r="K11" s="102">
        <f>(' COSTS PER ACRE - USER INPUT'!$F23/SUM(' COSTS PER ACRE - USER INPUT'!$G23:$R23)*' COSTS PER ACRE - USER INPUT'!P23)</f>
        <v>0</v>
      </c>
      <c r="L11" s="102">
        <f>(' COSTS PER ACRE - USER INPUT'!$F23/SUM(' COSTS PER ACRE - USER INPUT'!$G23:$R23)*' COSTS PER ACRE - USER INPUT'!Q23)</f>
        <v>0</v>
      </c>
      <c r="M11" s="102">
        <f>(' COSTS PER ACRE - USER INPUT'!$F23/SUM(' COSTS PER ACRE - USER INPUT'!$G23:$R23)*' COSTS PER ACRE - USER INPUT'!R23)</f>
        <v>0</v>
      </c>
      <c r="N11" s="102">
        <f t="shared" si="0"/>
        <v>135.16</v>
      </c>
    </row>
    <row r="12" spans="1:14" ht="11.25" customHeight="1">
      <c r="A12" s="7" t="str">
        <f>' COSTS PER ACRE - USER INPUT'!A24</f>
        <v>Irrigate: (water &amp; labor)</v>
      </c>
      <c r="B12" s="102">
        <f>(' COSTS PER ACRE - USER INPUT'!$F24/SUM(' COSTS PER ACRE - USER INPUT'!$G24:$R24)*' COSTS PER ACRE - USER INPUT'!G24)</f>
        <v>0</v>
      </c>
      <c r="C12" s="102">
        <f>(' COSTS PER ACRE - USER INPUT'!$F24/SUM(' COSTS PER ACRE - USER INPUT'!$G24:$R24)*' COSTS PER ACRE - USER INPUT'!H24)</f>
        <v>0</v>
      </c>
      <c r="D12" s="102">
        <f>(' COSTS PER ACRE - USER INPUT'!$F24/SUM(' COSTS PER ACRE - USER INPUT'!$G24:$R24)*' COSTS PER ACRE - USER INPUT'!I24)</f>
        <v>35.800000000000004</v>
      </c>
      <c r="E12" s="102">
        <f>(' COSTS PER ACRE - USER INPUT'!$F24/SUM(' COSTS PER ACRE - USER INPUT'!$G24:$R24)*' COSTS PER ACRE - USER INPUT'!J24)</f>
        <v>57.280000000000015</v>
      </c>
      <c r="F12" s="102">
        <f>(' COSTS PER ACRE - USER INPUT'!$F24/SUM(' COSTS PER ACRE - USER INPUT'!$G24:$R24)*' COSTS PER ACRE - USER INPUT'!K24)</f>
        <v>57.280000000000015</v>
      </c>
      <c r="G12" s="102">
        <f>(' COSTS PER ACRE - USER INPUT'!$F24/SUM(' COSTS PER ACRE - USER INPUT'!$G24:$R24)*' COSTS PER ACRE - USER INPUT'!L24)</f>
        <v>0</v>
      </c>
      <c r="H12" s="102">
        <f>(' COSTS PER ACRE - USER INPUT'!$F24/SUM(' COSTS PER ACRE - USER INPUT'!$G24:$R24)*' COSTS PER ACRE - USER INPUT'!M24)</f>
        <v>0</v>
      </c>
      <c r="I12" s="102">
        <f>(' COSTS PER ACRE - USER INPUT'!$F24/SUM(' COSTS PER ACRE - USER INPUT'!$G24:$R24)*' COSTS PER ACRE - USER INPUT'!N24)</f>
        <v>0</v>
      </c>
      <c r="J12" s="102">
        <f>(' COSTS PER ACRE - USER INPUT'!$F24/SUM(' COSTS PER ACRE - USER INPUT'!$G24:$R24)*' COSTS PER ACRE - USER INPUT'!O24)</f>
        <v>0</v>
      </c>
      <c r="K12" s="102">
        <f>(' COSTS PER ACRE - USER INPUT'!$F24/SUM(' COSTS PER ACRE - USER INPUT'!$G24:$R24)*' COSTS PER ACRE - USER INPUT'!P24)</f>
        <v>0</v>
      </c>
      <c r="L12" s="102">
        <f>(' COSTS PER ACRE - USER INPUT'!$F24/SUM(' COSTS PER ACRE - USER INPUT'!$G24:$R24)*' COSTS PER ACRE - USER INPUT'!Q24)</f>
        <v>0</v>
      </c>
      <c r="M12" s="102">
        <f>(' COSTS PER ACRE - USER INPUT'!$F24/SUM(' COSTS PER ACRE - USER INPUT'!$G24:$R24)*' COSTS PER ACRE - USER INPUT'!R24)</f>
        <v>0</v>
      </c>
      <c r="N12" s="102">
        <f t="shared" si="0"/>
        <v>150.36</v>
      </c>
    </row>
    <row r="13" spans="1:14" ht="11.25" customHeight="1">
      <c r="A13" s="7" t="str">
        <f>' COSTS PER ACRE - USER INPUT'!A25</f>
        <v>Fertilize: UN32</v>
      </c>
      <c r="B13" s="102">
        <f>(' COSTS PER ACRE - USER INPUT'!$F25/SUM(' COSTS PER ACRE - USER INPUT'!$G25:$R25)*' COSTS PER ACRE - USER INPUT'!G25)</f>
        <v>0</v>
      </c>
      <c r="C13" s="102">
        <f>(' COSTS PER ACRE - USER INPUT'!$F25/SUM(' COSTS PER ACRE - USER INPUT'!$G25:$R25)*' COSTS PER ACRE - USER INPUT'!H25)</f>
        <v>0</v>
      </c>
      <c r="D13" s="102">
        <f>(' COSTS PER ACRE - USER INPUT'!$F25/SUM(' COSTS PER ACRE - USER INPUT'!$G25:$R25)*' COSTS PER ACRE - USER INPUT'!I25)</f>
        <v>14.3</v>
      </c>
      <c r="E13" s="102">
        <f>(' COSTS PER ACRE - USER INPUT'!$F25/SUM(' COSTS PER ACRE - USER INPUT'!$G25:$R25)*' COSTS PER ACRE - USER INPUT'!J25)</f>
        <v>28.6</v>
      </c>
      <c r="F13" s="102">
        <f>(' COSTS PER ACRE - USER INPUT'!$F25/SUM(' COSTS PER ACRE - USER INPUT'!$G25:$R25)*' COSTS PER ACRE - USER INPUT'!K25)</f>
        <v>14.3</v>
      </c>
      <c r="G13" s="102">
        <f>(' COSTS PER ACRE - USER INPUT'!$F25/SUM(' COSTS PER ACRE - USER INPUT'!$G25:$R25)*' COSTS PER ACRE - USER INPUT'!L25)</f>
        <v>0</v>
      </c>
      <c r="H13" s="102">
        <f>(' COSTS PER ACRE - USER INPUT'!$F25/SUM(' COSTS PER ACRE - USER INPUT'!$G25:$R25)*' COSTS PER ACRE - USER INPUT'!M25)</f>
        <v>0</v>
      </c>
      <c r="I13" s="102">
        <f>(' COSTS PER ACRE - USER INPUT'!$F25/SUM(' COSTS PER ACRE - USER INPUT'!$G25:$R25)*' COSTS PER ACRE - USER INPUT'!N25)</f>
        <v>0</v>
      </c>
      <c r="J13" s="102">
        <f>(' COSTS PER ACRE - USER INPUT'!$F25/SUM(' COSTS PER ACRE - USER INPUT'!$G25:$R25)*' COSTS PER ACRE - USER INPUT'!O25)</f>
        <v>0</v>
      </c>
      <c r="K13" s="102">
        <f>(' COSTS PER ACRE - USER INPUT'!$F25/SUM(' COSTS PER ACRE - USER INPUT'!$G25:$R25)*' COSTS PER ACRE - USER INPUT'!P25)</f>
        <v>0</v>
      </c>
      <c r="L13" s="102">
        <f>(' COSTS PER ACRE - USER INPUT'!$F25/SUM(' COSTS PER ACRE - USER INPUT'!$G25:$R25)*' COSTS PER ACRE - USER INPUT'!Q25)</f>
        <v>0</v>
      </c>
      <c r="M13" s="102">
        <f>(' COSTS PER ACRE - USER INPUT'!$F25/SUM(' COSTS PER ACRE - USER INPUT'!$G25:$R25)*' COSTS PER ACRE - USER INPUT'!R25)</f>
        <v>0</v>
      </c>
      <c r="N13" s="102">
        <f t="shared" si="0"/>
        <v>57.2</v>
      </c>
    </row>
    <row r="14" spans="1:14" ht="11.25" customHeight="1">
      <c r="A14" s="7" t="str">
        <f>' COSTS PER ACRE - USER INPUT'!A26</f>
        <v>Miscellaneous Pickup Use</v>
      </c>
      <c r="B14" s="102">
        <f>(' COSTS PER ACRE - USER INPUT'!$F26/SUM(' COSTS PER ACRE - USER INPUT'!$G26:$R26)*' COSTS PER ACRE - USER INPUT'!G26)</f>
        <v>22.333333333333332</v>
      </c>
      <c r="C14" s="102">
        <f>(' COSTS PER ACRE - USER INPUT'!$F26/SUM(' COSTS PER ACRE - USER INPUT'!$G26:$R26)*' COSTS PER ACRE - USER INPUT'!H26)</f>
        <v>22.333333333333332</v>
      </c>
      <c r="D14" s="102">
        <f>(' COSTS PER ACRE - USER INPUT'!$F26/SUM(' COSTS PER ACRE - USER INPUT'!$G26:$R26)*' COSTS PER ACRE - USER INPUT'!I26)</f>
        <v>22.333333333333332</v>
      </c>
      <c r="E14" s="102">
        <f>(' COSTS PER ACRE - USER INPUT'!$F26/SUM(' COSTS PER ACRE - USER INPUT'!$G26:$R26)*' COSTS PER ACRE - USER INPUT'!J26)</f>
        <v>22.333333333333332</v>
      </c>
      <c r="F14" s="102">
        <f>(' COSTS PER ACRE - USER INPUT'!$F26/SUM(' COSTS PER ACRE - USER INPUT'!$G26:$R26)*' COSTS PER ACRE - USER INPUT'!K26)</f>
        <v>22.333333333333332</v>
      </c>
      <c r="G14" s="102">
        <f>(' COSTS PER ACRE - USER INPUT'!$F26/SUM(' COSTS PER ACRE - USER INPUT'!$G26:$R26)*' COSTS PER ACRE - USER INPUT'!L26)</f>
        <v>22.333333333333332</v>
      </c>
      <c r="H14" s="102">
        <f>(' COSTS PER ACRE - USER INPUT'!$F26/SUM(' COSTS PER ACRE - USER INPUT'!$G26:$R26)*' COSTS PER ACRE - USER INPUT'!M26)</f>
        <v>0</v>
      </c>
      <c r="I14" s="102">
        <f>(' COSTS PER ACRE - USER INPUT'!$F26/SUM(' COSTS PER ACRE - USER INPUT'!$G26:$R26)*' COSTS PER ACRE - USER INPUT'!N26)</f>
        <v>0</v>
      </c>
      <c r="J14" s="102">
        <f>(' COSTS PER ACRE - USER INPUT'!$F26/SUM(' COSTS PER ACRE - USER INPUT'!$G26:$R26)*' COSTS PER ACRE - USER INPUT'!O26)</f>
        <v>0</v>
      </c>
      <c r="K14" s="102">
        <f>(' COSTS PER ACRE - USER INPUT'!$F26/SUM(' COSTS PER ACRE - USER INPUT'!$G26:$R26)*' COSTS PER ACRE - USER INPUT'!P26)</f>
        <v>0</v>
      </c>
      <c r="L14" s="102">
        <f>(' COSTS PER ACRE - USER INPUT'!$F26/SUM(' COSTS PER ACRE - USER INPUT'!$G26:$R26)*' COSTS PER ACRE - USER INPUT'!Q26)</f>
        <v>0</v>
      </c>
      <c r="M14" s="102">
        <f>(' COSTS PER ACRE - USER INPUT'!$F26/SUM(' COSTS PER ACRE - USER INPUT'!$G26:$R26)*' COSTS PER ACRE - USER INPUT'!R26)</f>
        <v>0</v>
      </c>
      <c r="N14" s="102">
        <f t="shared" si="0"/>
        <v>134</v>
      </c>
    </row>
    <row r="15" spans="1:14" ht="11.25" customHeight="1">
      <c r="A15" s="47" t="str">
        <f>' COSTS PER ACRE - USER INPUT'!A27</f>
        <v>Additional operation</v>
      </c>
      <c r="B15" s="102">
        <f>IF(SUM(' COSTS PER ACRE - USER INPUT'!G27:R27)=0,0,(' COSTS PER ACRE - USER INPUT'!$F27/SUM(' COSTS PER ACRE - USER INPUT'!$G27:$R27)*' COSTS PER ACRE - USER INPUT'!G27))</f>
        <v>0</v>
      </c>
      <c r="C15" s="102">
        <f>IF(SUM(' COSTS PER ACRE - USER INPUT'!H27:S27)=0,0,(' COSTS PER ACRE - USER INPUT'!$F27/SUM(' COSTS PER ACRE - USER INPUT'!$G27:$R27)*' COSTS PER ACRE - USER INPUT'!H27))</f>
        <v>0</v>
      </c>
      <c r="D15" s="102">
        <f>IF(SUM(' COSTS PER ACRE - USER INPUT'!I27:T27)=0,0,(' COSTS PER ACRE - USER INPUT'!$F27/SUM(' COSTS PER ACRE - USER INPUT'!$G27:$R27)*' COSTS PER ACRE - USER INPUT'!I27))</f>
        <v>0</v>
      </c>
      <c r="E15" s="102">
        <f>IF(SUM(' COSTS PER ACRE - USER INPUT'!J27:U27)=0,0,(' COSTS PER ACRE - USER INPUT'!$F27/SUM(' COSTS PER ACRE - USER INPUT'!$G27:$R27)*' COSTS PER ACRE - USER INPUT'!J27))</f>
        <v>0</v>
      </c>
      <c r="F15" s="102">
        <f>IF(SUM(' COSTS PER ACRE - USER INPUT'!K27:V27)=0,0,(' COSTS PER ACRE - USER INPUT'!$F27/SUM(' COSTS PER ACRE - USER INPUT'!$G27:$R27)*' COSTS PER ACRE - USER INPUT'!K27))</f>
        <v>0</v>
      </c>
      <c r="G15" s="102">
        <f>IF(SUM(' COSTS PER ACRE - USER INPUT'!L22:W22)=0,0,(' COSTS PER ACRE - USER INPUT'!$F27/SUM(' COSTS PER ACRE - USER INPUT'!$G27:$R27)*' COSTS PER ACRE - USER INPUT'!L27))</f>
        <v>0</v>
      </c>
      <c r="H15" s="102">
        <f>IF(SUM(' COSTS PER ACRE - USER INPUT'!M22:X22)=0,0,(' COSTS PER ACRE - USER INPUT'!$F27/SUM(' COSTS PER ACRE - USER INPUT'!$G27:$R27)*' COSTS PER ACRE - USER INPUT'!M27))</f>
        <v>0</v>
      </c>
      <c r="I15" s="102">
        <f>IF(SUM(' COSTS PER ACRE - USER INPUT'!N22:Y22)=0,0,(' COSTS PER ACRE - USER INPUT'!$F27/SUM(' COSTS PER ACRE - USER INPUT'!$G27:$R27)*' COSTS PER ACRE - USER INPUT'!N27))</f>
        <v>0</v>
      </c>
      <c r="J15" s="102">
        <f>IF(SUM(' COSTS PER ACRE - USER INPUT'!O22:Z22)=0,0,(' COSTS PER ACRE - USER INPUT'!$F27/SUM(' COSTS PER ACRE - USER INPUT'!$G27:$R27)*' COSTS PER ACRE - USER INPUT'!O27))</f>
        <v>0</v>
      </c>
      <c r="K15" s="102">
        <f>IF(SUM(' COSTS PER ACRE - USER INPUT'!P22:AA22)=0,0,(' COSTS PER ACRE - USER INPUT'!$F27/SUM(' COSTS PER ACRE - USER INPUT'!$G27:$R27)*' COSTS PER ACRE - USER INPUT'!P27))</f>
        <v>0</v>
      </c>
      <c r="L15" s="102">
        <f>IF(SUM(' COSTS PER ACRE - USER INPUT'!Q22:AB22)=0,0,(' COSTS PER ACRE - USER INPUT'!$F27/SUM(' COSTS PER ACRE - USER INPUT'!$G27:$R27)*' COSTS PER ACRE - USER INPUT'!Q27))</f>
        <v>0</v>
      </c>
      <c r="M15" s="102">
        <f>IF(SUM(' COSTS PER ACRE - USER INPUT'!R22:AC22)=0,0,(' COSTS PER ACRE - USER INPUT'!$F27/SUM(' COSTS PER ACRE - USER INPUT'!$G27:$R27)*' COSTS PER ACRE - USER INPUT'!R27))</f>
        <v>0</v>
      </c>
      <c r="N15" s="102">
        <f t="shared" si="0"/>
        <v>0</v>
      </c>
    </row>
    <row r="16" spans="1:14" ht="11.25" customHeight="1">
      <c r="A16" s="47" t="str">
        <f>' COSTS PER ACRE - USER INPUT'!A28</f>
        <v>Additional operation</v>
      </c>
      <c r="B16" s="102">
        <f>IF(SUM(' COSTS PER ACRE - USER INPUT'!G28:R28)=0,0,(' COSTS PER ACRE - USER INPUT'!$F28/SUM(' COSTS PER ACRE - USER INPUT'!$G28:$R28)*' COSTS PER ACRE - USER INPUT'!G28))</f>
        <v>0</v>
      </c>
      <c r="C16" s="102">
        <f>IF(SUM(' COSTS PER ACRE - USER INPUT'!H28:S28)=0,0,(' COSTS PER ACRE - USER INPUT'!$F28/SUM(' COSTS PER ACRE - USER INPUT'!$G28:$R28)*' COSTS PER ACRE - USER INPUT'!H28))</f>
        <v>0</v>
      </c>
      <c r="D16" s="102">
        <f>IF(SUM(' COSTS PER ACRE - USER INPUT'!I28:T28)=0,0,(' COSTS PER ACRE - USER INPUT'!$F28/SUM(' COSTS PER ACRE - USER INPUT'!$G28:$R28)*' COSTS PER ACRE - USER INPUT'!I28))</f>
        <v>0</v>
      </c>
      <c r="E16" s="102">
        <f>IF(SUM(' COSTS PER ACRE - USER INPUT'!J28:U28)=0,0,(' COSTS PER ACRE - USER INPUT'!$F28/SUM(' COSTS PER ACRE - USER INPUT'!$G28:$R28)*' COSTS PER ACRE - USER INPUT'!J28))</f>
        <v>0</v>
      </c>
      <c r="F16" s="102">
        <f>IF(SUM(' COSTS PER ACRE - USER INPUT'!K28:V28)=0,0,(' COSTS PER ACRE - USER INPUT'!$F28/SUM(' COSTS PER ACRE - USER INPUT'!$G28:$R28)*' COSTS PER ACRE - USER INPUT'!K28))</f>
        <v>0</v>
      </c>
      <c r="G16" s="102">
        <f>IF(SUM(' COSTS PER ACRE - USER INPUT'!L23:W23)=0,0,(' COSTS PER ACRE - USER INPUT'!$F28/SUM(' COSTS PER ACRE - USER INPUT'!$G28:$R28)*' COSTS PER ACRE - USER INPUT'!L28))</f>
        <v>0</v>
      </c>
      <c r="H16" s="102">
        <f>IF(SUM(' COSTS PER ACRE - USER INPUT'!M23:X23)=0,0,(' COSTS PER ACRE - USER INPUT'!$F28/SUM(' COSTS PER ACRE - USER INPUT'!$G28:$R28)*' COSTS PER ACRE - USER INPUT'!M28))</f>
        <v>0</v>
      </c>
      <c r="I16" s="102">
        <f>IF(SUM(' COSTS PER ACRE - USER INPUT'!N23:Y23)=0,0,(' COSTS PER ACRE - USER INPUT'!$F28/SUM(' COSTS PER ACRE - USER INPUT'!$G28:$R28)*' COSTS PER ACRE - USER INPUT'!N28))</f>
        <v>0</v>
      </c>
      <c r="J16" s="102">
        <f>IF(SUM(' COSTS PER ACRE - USER INPUT'!O23:Z23)=0,0,(' COSTS PER ACRE - USER INPUT'!$F28/SUM(' COSTS PER ACRE - USER INPUT'!$G28:$R28)*' COSTS PER ACRE - USER INPUT'!O28))</f>
        <v>0</v>
      </c>
      <c r="K16" s="102">
        <f>IF(SUM(' COSTS PER ACRE - USER INPUT'!P23:AA23)=0,0,(' COSTS PER ACRE - USER INPUT'!$F28/SUM(' COSTS PER ACRE - USER INPUT'!$G28:$R28)*' COSTS PER ACRE - USER INPUT'!P28))</f>
        <v>0</v>
      </c>
      <c r="L16" s="102">
        <f>IF(SUM(' COSTS PER ACRE - USER INPUT'!Q23:AB23)=0,0,(' COSTS PER ACRE - USER INPUT'!$F28/SUM(' COSTS PER ACRE - USER INPUT'!$G28:$R28)*' COSTS PER ACRE - USER INPUT'!Q28))</f>
        <v>0</v>
      </c>
      <c r="M16" s="102">
        <f>IF(SUM(' COSTS PER ACRE - USER INPUT'!R23:AC23)=0,0,(' COSTS PER ACRE - USER INPUT'!$F28/SUM(' COSTS PER ACRE - USER INPUT'!$G28:$R28)*' COSTS PER ACRE - USER INPUT'!R28))</f>
        <v>0</v>
      </c>
      <c r="N16" s="102">
        <f t="shared" si="0"/>
        <v>0</v>
      </c>
    </row>
    <row r="17" spans="1:14" ht="11.25" customHeight="1">
      <c r="A17" s="47" t="str">
        <f>' COSTS PER ACRE - USER INPUT'!A29</f>
        <v>Additional operation</v>
      </c>
      <c r="B17" s="102">
        <f>IF(SUM(' COSTS PER ACRE - USER INPUT'!G29:R29)=0,0,(' COSTS PER ACRE - USER INPUT'!$F29/SUM(' COSTS PER ACRE - USER INPUT'!$G29:$R29)*' COSTS PER ACRE - USER INPUT'!G29))</f>
        <v>0</v>
      </c>
      <c r="C17" s="102">
        <f>IF(SUM(' COSTS PER ACRE - USER INPUT'!H29:S29)=0,0,(' COSTS PER ACRE - USER INPUT'!$F29/SUM(' COSTS PER ACRE - USER INPUT'!$G29:$R29)*' COSTS PER ACRE - USER INPUT'!H29))</f>
        <v>0</v>
      </c>
      <c r="D17" s="102">
        <f>IF(SUM(' COSTS PER ACRE - USER INPUT'!I29:T29)=0,0,(' COSTS PER ACRE - USER INPUT'!$F29/SUM(' COSTS PER ACRE - USER INPUT'!$G29:$R29)*' COSTS PER ACRE - USER INPUT'!I29))</f>
        <v>0</v>
      </c>
      <c r="E17" s="102">
        <f>IF(SUM(' COSTS PER ACRE - USER INPUT'!J29:U29)=0,0,(' COSTS PER ACRE - USER INPUT'!$F29/SUM(' COSTS PER ACRE - USER INPUT'!$G29:$R29)*' COSTS PER ACRE - USER INPUT'!J29))</f>
        <v>0</v>
      </c>
      <c r="F17" s="102">
        <f>IF(SUM(' COSTS PER ACRE - USER INPUT'!K29:V29)=0,0,(' COSTS PER ACRE - USER INPUT'!$F29/SUM(' COSTS PER ACRE - USER INPUT'!$G29:$R29)*' COSTS PER ACRE - USER INPUT'!K29))</f>
        <v>0</v>
      </c>
      <c r="G17" s="102">
        <f>IF(SUM(' COSTS PER ACRE - USER INPUT'!L24:W24)=0,0,(' COSTS PER ACRE - USER INPUT'!$F29/SUM(' COSTS PER ACRE - USER INPUT'!$G29:$R29)*' COSTS PER ACRE - USER INPUT'!L29))</f>
        <v>0</v>
      </c>
      <c r="H17" s="102">
        <f>IF(SUM(' COSTS PER ACRE - USER INPUT'!M24:X24)=0,0,(' COSTS PER ACRE - USER INPUT'!$F29/SUM(' COSTS PER ACRE - USER INPUT'!$G29:$R29)*' COSTS PER ACRE - USER INPUT'!M29))</f>
        <v>0</v>
      </c>
      <c r="I17" s="102">
        <f>IF(SUM(' COSTS PER ACRE - USER INPUT'!N24:Y24)=0,0,(' COSTS PER ACRE - USER INPUT'!$F29/SUM(' COSTS PER ACRE - USER INPUT'!$G29:$R29)*' COSTS PER ACRE - USER INPUT'!N29))</f>
        <v>0</v>
      </c>
      <c r="J17" s="102">
        <f>IF(SUM(' COSTS PER ACRE - USER INPUT'!O24:Z24)=0,0,(' COSTS PER ACRE - USER INPUT'!$F29/SUM(' COSTS PER ACRE - USER INPUT'!$G29:$R29)*' COSTS PER ACRE - USER INPUT'!O29))</f>
        <v>0</v>
      </c>
      <c r="K17" s="102">
        <f>IF(SUM(' COSTS PER ACRE - USER INPUT'!P24:AA24)=0,0,(' COSTS PER ACRE - USER INPUT'!$F29/SUM(' COSTS PER ACRE - USER INPUT'!$G29:$R29)*' COSTS PER ACRE - USER INPUT'!P29))</f>
        <v>0</v>
      </c>
      <c r="L17" s="102">
        <f>IF(SUM(' COSTS PER ACRE - USER INPUT'!Q24:AB24)=0,0,(' COSTS PER ACRE - USER INPUT'!$F29/SUM(' COSTS PER ACRE - USER INPUT'!$G29:$R29)*' COSTS PER ACRE - USER INPUT'!Q29))</f>
        <v>0</v>
      </c>
      <c r="M17" s="102">
        <f>IF(SUM(' COSTS PER ACRE - USER INPUT'!R24:AC24)=0,0,(' COSTS PER ACRE - USER INPUT'!$F29/SUM(' COSTS PER ACRE - USER INPUT'!$G29:$R29)*' COSTS PER ACRE - USER INPUT'!R29))</f>
        <v>0</v>
      </c>
      <c r="N17" s="102">
        <f t="shared" si="0"/>
        <v>0</v>
      </c>
    </row>
    <row r="18" spans="1:14" ht="11.25" customHeight="1">
      <c r="A18" s="15" t="s">
        <v>16</v>
      </c>
      <c r="B18" s="103">
        <f aca="true" t="shared" si="1" ref="B18:N18">SUM(B8:B17)</f>
        <v>22.333333333333332</v>
      </c>
      <c r="C18" s="103">
        <f t="shared" si="1"/>
        <v>189.82333333333335</v>
      </c>
      <c r="D18" s="103">
        <f t="shared" si="1"/>
        <v>207.59333333333336</v>
      </c>
      <c r="E18" s="103">
        <f t="shared" si="1"/>
        <v>108.21333333333335</v>
      </c>
      <c r="F18" s="103">
        <f t="shared" si="1"/>
        <v>93.91333333333334</v>
      </c>
      <c r="G18" s="103">
        <f t="shared" si="1"/>
        <v>22.333333333333332</v>
      </c>
      <c r="H18" s="103">
        <f t="shared" si="1"/>
        <v>0</v>
      </c>
      <c r="I18" s="103">
        <f t="shared" si="1"/>
        <v>0</v>
      </c>
      <c r="J18" s="103">
        <f t="shared" si="1"/>
        <v>0</v>
      </c>
      <c r="K18" s="103">
        <f t="shared" si="1"/>
        <v>0</v>
      </c>
      <c r="L18" s="103">
        <f t="shared" si="1"/>
        <v>0</v>
      </c>
      <c r="M18" s="103">
        <f t="shared" si="1"/>
        <v>0</v>
      </c>
      <c r="N18" s="103">
        <f t="shared" si="1"/>
        <v>644.21</v>
      </c>
    </row>
    <row r="19" spans="1:14" ht="11.25" customHeight="1">
      <c r="A19" s="76" t="s">
        <v>14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1.25" customHeight="1">
      <c r="A20" s="9" t="str">
        <f>' COSTS PER ACRE - USER INPUT'!A32</f>
        <v>Hand Pick, Wash &amp; Pack</v>
      </c>
      <c r="B20" s="102">
        <f>(' COSTS PER ACRE - USER INPUT'!$F32/SUM(' COSTS PER ACRE - USER INPUT'!$G32:$R32)*' COSTS PER ACRE - USER INPUT'!G32)</f>
        <v>0</v>
      </c>
      <c r="C20" s="102">
        <f>(' COSTS PER ACRE - USER INPUT'!$F32/SUM(' COSTS PER ACRE - USER INPUT'!$G32:$R32)*' COSTS PER ACRE - USER INPUT'!H32)</f>
        <v>0</v>
      </c>
      <c r="D20" s="102">
        <f>(' COSTS PER ACRE - USER INPUT'!$F32/SUM(' COSTS PER ACRE - USER INPUT'!$G32:$R32)*' COSTS PER ACRE - USER INPUT'!I32)</f>
        <v>0</v>
      </c>
      <c r="E20" s="102">
        <f>(' COSTS PER ACRE - USER INPUT'!$F32/SUM(' COSTS PER ACRE - USER INPUT'!$G32:$R32)*' COSTS PER ACRE - USER INPUT'!J32)</f>
        <v>0</v>
      </c>
      <c r="F20" s="102">
        <f>(' COSTS PER ACRE - USER INPUT'!$F32/SUM(' COSTS PER ACRE - USER INPUT'!$G32:$R32)*' COSTS PER ACRE - USER INPUT'!K32)</f>
        <v>1131</v>
      </c>
      <c r="G20" s="102">
        <f>(' COSTS PER ACRE - USER INPUT'!$F32/SUM(' COSTS PER ACRE - USER INPUT'!$G32:$R32)*' COSTS PER ACRE - USER INPUT'!L32)</f>
        <v>553.0000000000001</v>
      </c>
      <c r="H20" s="102">
        <f>(' COSTS PER ACRE - USER INPUT'!$F32/SUM(' COSTS PER ACRE - USER INPUT'!$G32:$R32)*' COSTS PER ACRE - USER INPUT'!M32)</f>
        <v>0</v>
      </c>
      <c r="I20" s="102">
        <f>(' COSTS PER ACRE - USER INPUT'!$F32/SUM(' COSTS PER ACRE - USER INPUT'!$G32:$R32)*' COSTS PER ACRE - USER INPUT'!N32)</f>
        <v>0</v>
      </c>
      <c r="J20" s="102">
        <f>(' COSTS PER ACRE - USER INPUT'!$F32/SUM(' COSTS PER ACRE - USER INPUT'!$G32:$R32)*' COSTS PER ACRE - USER INPUT'!O32)</f>
        <v>0</v>
      </c>
      <c r="K20" s="102">
        <f>(' COSTS PER ACRE - USER INPUT'!$F32/SUM(' COSTS PER ACRE - USER INPUT'!$G32:$R32)*' COSTS PER ACRE - USER INPUT'!P32)</f>
        <v>0</v>
      </c>
      <c r="L20" s="102">
        <f>(' COSTS PER ACRE - USER INPUT'!$F32/SUM(' COSTS PER ACRE - USER INPUT'!$G32:$R32)*' COSTS PER ACRE - USER INPUT'!Q32)</f>
        <v>0</v>
      </c>
      <c r="M20" s="102">
        <f>(' COSTS PER ACRE - USER INPUT'!$F32/SUM(' COSTS PER ACRE - USER INPUT'!$G32:$R32)*' COSTS PER ACRE - USER INPUT'!R32)</f>
        <v>0</v>
      </c>
      <c r="N20" s="102">
        <f>SUM(B20:M20)</f>
        <v>1684</v>
      </c>
    </row>
    <row r="21" spans="1:14" ht="11.25" customHeight="1">
      <c r="A21" s="9" t="str">
        <f>' COSTS PER ACRE - USER INPUT'!A33</f>
        <v>Haul</v>
      </c>
      <c r="B21" s="102">
        <f>(' COSTS PER ACRE - USER INPUT'!$F33/SUM(' COSTS PER ACRE - USER INPUT'!$G33:$R33)*' COSTS PER ACRE - USER INPUT'!G33)</f>
        <v>0</v>
      </c>
      <c r="C21" s="102">
        <f>(' COSTS PER ACRE - USER INPUT'!$F33/SUM(' COSTS PER ACRE - USER INPUT'!$G33:$R33)*' COSTS PER ACRE - USER INPUT'!H33)</f>
        <v>0</v>
      </c>
      <c r="D21" s="102">
        <f>(' COSTS PER ACRE - USER INPUT'!$F33/SUM(' COSTS PER ACRE - USER INPUT'!$G33:$R33)*' COSTS PER ACRE - USER INPUT'!I33)</f>
        <v>0</v>
      </c>
      <c r="E21" s="102">
        <f>(' COSTS PER ACRE - USER INPUT'!$F33/SUM(' COSTS PER ACRE - USER INPUT'!$G33:$R33)*' COSTS PER ACRE - USER INPUT'!J33)</f>
        <v>0</v>
      </c>
      <c r="F21" s="102">
        <f>(' COSTS PER ACRE - USER INPUT'!$F33/SUM(' COSTS PER ACRE - USER INPUT'!$G33:$R33)*' COSTS PER ACRE - USER INPUT'!K33)</f>
        <v>109.33333333333333</v>
      </c>
      <c r="G21" s="102">
        <f>(' COSTS PER ACRE - USER INPUT'!$F33/SUM(' COSTS PER ACRE - USER INPUT'!$G33:$R33)*' COSTS PER ACRE - USER INPUT'!L33)</f>
        <v>54.66666666666667</v>
      </c>
      <c r="H21" s="102">
        <f>(' COSTS PER ACRE - USER INPUT'!$F33/SUM(' COSTS PER ACRE - USER INPUT'!$G33:$R33)*' COSTS PER ACRE - USER INPUT'!M33)</f>
        <v>0</v>
      </c>
      <c r="I21" s="102">
        <f>(' COSTS PER ACRE - USER INPUT'!$F33/SUM(' COSTS PER ACRE - USER INPUT'!$G33:$R33)*' COSTS PER ACRE - USER INPUT'!N33)</f>
        <v>0</v>
      </c>
      <c r="J21" s="102">
        <f>(' COSTS PER ACRE - USER INPUT'!$F33/SUM(' COSTS PER ACRE - USER INPUT'!$G33:$R33)*' COSTS PER ACRE - USER INPUT'!O33)</f>
        <v>0</v>
      </c>
      <c r="K21" s="102">
        <f>(' COSTS PER ACRE - USER INPUT'!$F33/SUM(' COSTS PER ACRE - USER INPUT'!$G33:$R33)*' COSTS PER ACRE - USER INPUT'!P33)</f>
        <v>0</v>
      </c>
      <c r="L21" s="102">
        <f>(' COSTS PER ACRE - USER INPUT'!$F33/SUM(' COSTS PER ACRE - USER INPUT'!$G33:$R33)*' COSTS PER ACRE - USER INPUT'!Q33)</f>
        <v>0</v>
      </c>
      <c r="M21" s="102">
        <f>(' COSTS PER ACRE - USER INPUT'!$F33/SUM(' COSTS PER ACRE - USER INPUT'!$G33:$R33)*' COSTS PER ACRE - USER INPUT'!R33)</f>
        <v>0</v>
      </c>
      <c r="N21" s="102">
        <f>SUM(B21:M21)</f>
        <v>164</v>
      </c>
    </row>
    <row r="22" spans="1:14" ht="11.25" customHeight="1">
      <c r="A22" s="14" t="str">
        <f>' COSTS PER ACRE - USER INPUT'!A34</f>
        <v>TOTAL HARVEST COSTS</v>
      </c>
      <c r="B22" s="104">
        <f aca="true" t="shared" si="2" ref="B22:M22">SUM(B20:B21)</f>
        <v>0</v>
      </c>
      <c r="C22" s="104">
        <f t="shared" si="2"/>
        <v>0</v>
      </c>
      <c r="D22" s="104">
        <f t="shared" si="2"/>
        <v>0</v>
      </c>
      <c r="E22" s="104">
        <f t="shared" si="2"/>
        <v>0</v>
      </c>
      <c r="F22" s="104">
        <f>SUM(F20:F21)</f>
        <v>1240.3333333333333</v>
      </c>
      <c r="G22" s="104">
        <f t="shared" si="2"/>
        <v>607.6666666666667</v>
      </c>
      <c r="H22" s="104">
        <f t="shared" si="2"/>
        <v>0</v>
      </c>
      <c r="I22" s="104">
        <f t="shared" si="2"/>
        <v>0</v>
      </c>
      <c r="J22" s="104">
        <f t="shared" si="2"/>
        <v>0</v>
      </c>
      <c r="K22" s="104">
        <f t="shared" si="2"/>
        <v>0</v>
      </c>
      <c r="L22" s="104">
        <f t="shared" si="2"/>
        <v>0</v>
      </c>
      <c r="M22" s="104">
        <f t="shared" si="2"/>
        <v>0</v>
      </c>
      <c r="N22" s="104">
        <f>SUM(B22:M22)</f>
        <v>1848</v>
      </c>
    </row>
    <row r="23" spans="1:14" ht="11.25" customHeight="1">
      <c r="A23" s="14" t="s">
        <v>46</v>
      </c>
      <c r="B23" s="104">
        <f>' COSTS PER ACRE - USER INPUT'!$E$35/12*'MONTHLY COSTS - OUTPUT'!B18</f>
        <v>0.14237499999999997</v>
      </c>
      <c r="C23" s="104">
        <f>IF(B22&gt;0,-' COSTS PER ACRE - USER INPUT'!$E$35/12*SUM(C18:M18),' COSTS PER ACRE - USER INPUT'!$E$35/12*(SUM(B18:C18)+C22))</f>
        <v>1.35249875</v>
      </c>
      <c r="D23" s="104">
        <f>IF(C22&gt;0,-' COSTS PER ACRE - USER INPUT'!$E$35/12*SUM(D18:M18),' COSTS PER ACRE - USER INPUT'!$E$35/12*(SUM(C18:D18)+D22))</f>
        <v>2.5335312500000002</v>
      </c>
      <c r="E23" s="104">
        <f>IF(D22&gt;0,-' COSTS PER ACRE - USER INPUT'!$E$35/12*SUM(B18:M18),' COSTS PER ACRE - USER INPUT'!$E$35/12*(SUM(B18:E18)+E22))</f>
        <v>3.36576625</v>
      </c>
      <c r="F23" s="104">
        <f>IF(E22&gt;0,-' COSTS PER ACRE - USER INPUT'!$E$35/12*SUM(C18:N18),' COSTS PER ACRE - USER INPUT'!$E$35/12*(SUM(C18:F18)+F22))</f>
        <v>11.729213749999998</v>
      </c>
      <c r="G23" s="104">
        <f>' COSTS PER ACRE - USER INPUT'!$E$35/12*(SUM(F18:G18)+SUM(F22:G22))</f>
        <v>12.522072499999998</v>
      </c>
      <c r="H23" s="104">
        <f>IF(G22&gt;0,-' COSTS PER ACRE - USER INPUT'!$E$35/12*SUM(H18:M18),' COSTS PER ACRE - USER INPUT'!$E$35/12*(SUM(G18:H18)+H22))</f>
        <v>0</v>
      </c>
      <c r="I23" s="104">
        <f>IF(H22&gt;0,-' COSTS PER ACRE - USER INPUT'!$E$35/12*SUM(I18:M18),' COSTS PER ACRE - USER INPUT'!$E$35/12*(SUM(H18:I18)+I22))</f>
        <v>0</v>
      </c>
      <c r="J23" s="104">
        <f>IF(I22&gt;0,-' COSTS PER ACRE - USER INPUT'!$E$35/12*SUM(J18:M18),' COSTS PER ACRE - USER INPUT'!$E$35/12*(SUM(I18:J18)+J22))</f>
        <v>0</v>
      </c>
      <c r="K23" s="104">
        <f>IF(J22&gt;0,-' COSTS PER ACRE - USER INPUT'!$E$35/12*SUM(K18:M18),' COSTS PER ACRE - USER INPUT'!$E$35/12*(SUM(J18:K18)+K22))</f>
        <v>0</v>
      </c>
      <c r="L23" s="104">
        <f>IF(K22&gt;0,-' COSTS PER ACRE - USER INPUT'!$E$35/12*SUM(L18:M18),' COSTS PER ACRE - USER INPUT'!$E$35/12*(SUM(K18:L18)+L22))</f>
        <v>0</v>
      </c>
      <c r="M23" s="104">
        <f>IF(L22&gt;0,-' COSTS PER ACRE - USER INPUT'!$E$35/12*SUM(M18:M18),' COSTS PER ACRE - USER INPUT'!$E$35/12*(SUM(L18:M18)+M22))</f>
        <v>0</v>
      </c>
      <c r="N23" s="104">
        <f>SUM(B23:M23)</f>
        <v>31.6454575</v>
      </c>
    </row>
    <row r="24" spans="1:14" ht="11.25" customHeight="1">
      <c r="A24" s="15" t="s">
        <v>18</v>
      </c>
      <c r="B24" s="103">
        <f aca="true" t="shared" si="3" ref="B24:N24">B18+B22+B23</f>
        <v>22.475708333333333</v>
      </c>
      <c r="C24" s="103">
        <f t="shared" si="3"/>
        <v>191.17583208333335</v>
      </c>
      <c r="D24" s="103">
        <f t="shared" si="3"/>
        <v>210.12686458333337</v>
      </c>
      <c r="E24" s="103">
        <f t="shared" si="3"/>
        <v>111.57909958333335</v>
      </c>
      <c r="F24" s="103">
        <f t="shared" si="3"/>
        <v>1345.9758804166668</v>
      </c>
      <c r="G24" s="103">
        <f t="shared" si="3"/>
        <v>642.5220725000001</v>
      </c>
      <c r="H24" s="103">
        <f t="shared" si="3"/>
        <v>0</v>
      </c>
      <c r="I24" s="103">
        <f t="shared" si="3"/>
        <v>0</v>
      </c>
      <c r="J24" s="103">
        <f t="shared" si="3"/>
        <v>0</v>
      </c>
      <c r="K24" s="103">
        <f t="shared" si="3"/>
        <v>0</v>
      </c>
      <c r="L24" s="103">
        <f t="shared" si="3"/>
        <v>0</v>
      </c>
      <c r="M24" s="103">
        <f t="shared" si="3"/>
        <v>0</v>
      </c>
      <c r="N24" s="103">
        <f t="shared" si="3"/>
        <v>2523.8554575</v>
      </c>
    </row>
    <row r="25" spans="1:14" ht="11.25" customHeight="1">
      <c r="A25" s="12" t="s">
        <v>38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ht="11.25" customHeight="1">
      <c r="A26" s="9" t="str">
        <f>' COSTS PER ACRE - USER INPUT'!A38</f>
        <v>Liability Insurance</v>
      </c>
      <c r="B26" s="102">
        <f>(' COSTS PER ACRE - USER INPUT'!$F38/SUM(' COSTS PER ACRE - USER INPUT'!$G38:$R38)*' COSTS PER ACRE - USER INPUT'!G38)</f>
        <v>43</v>
      </c>
      <c r="C26" s="102">
        <f>(' COSTS PER ACRE - USER INPUT'!$F38/SUM(' COSTS PER ACRE - USER INPUT'!$G38:$R38)*' COSTS PER ACRE - USER INPUT'!H38)</f>
        <v>0</v>
      </c>
      <c r="D26" s="102">
        <f>(' COSTS PER ACRE - USER INPUT'!$F38/SUM(' COSTS PER ACRE - USER INPUT'!$G38:$R38)*' COSTS PER ACRE - USER INPUT'!I38)</f>
        <v>0</v>
      </c>
      <c r="E26" s="102">
        <f>(' COSTS PER ACRE - USER INPUT'!$F38/SUM(' COSTS PER ACRE - USER INPUT'!$G38:$R38)*' COSTS PER ACRE - USER INPUT'!J38)</f>
        <v>0</v>
      </c>
      <c r="F26" s="102">
        <f>(' COSTS PER ACRE - USER INPUT'!$F38/SUM(' COSTS PER ACRE - USER INPUT'!$G38:$R38)*' COSTS PER ACRE - USER INPUT'!K38)</f>
        <v>0</v>
      </c>
      <c r="G26" s="102">
        <f>(' COSTS PER ACRE - USER INPUT'!$F38/SUM(' COSTS PER ACRE - USER INPUT'!$G38:$R38)*' COSTS PER ACRE - USER INPUT'!L38)</f>
        <v>0</v>
      </c>
      <c r="H26" s="102">
        <f>(' COSTS PER ACRE - USER INPUT'!$F38/SUM(' COSTS PER ACRE - USER INPUT'!$G38:$R38)*' COSTS PER ACRE - USER INPUT'!M38)</f>
        <v>0</v>
      </c>
      <c r="I26" s="102">
        <f>(' COSTS PER ACRE - USER INPUT'!$F38/SUM(' COSTS PER ACRE - USER INPUT'!$G38:$R38)*' COSTS PER ACRE - USER INPUT'!N38)</f>
        <v>0</v>
      </c>
      <c r="J26" s="102">
        <f>(' COSTS PER ACRE - USER INPUT'!$F38/SUM(' COSTS PER ACRE - USER INPUT'!$G38:$R38)*' COSTS PER ACRE - USER INPUT'!O38)</f>
        <v>0</v>
      </c>
      <c r="K26" s="102">
        <f>(' COSTS PER ACRE - USER INPUT'!$F38/SUM(' COSTS PER ACRE - USER INPUT'!$G38:$R38)*' COSTS PER ACRE - USER INPUT'!P38)</f>
        <v>0</v>
      </c>
      <c r="L26" s="102">
        <f>(' COSTS PER ACRE - USER INPUT'!$F38/SUM(' COSTS PER ACRE - USER INPUT'!$G38:$R38)*' COSTS PER ACRE - USER INPUT'!Q38)</f>
        <v>0</v>
      </c>
      <c r="M26" s="102">
        <f>(' COSTS PER ACRE - USER INPUT'!$F38/SUM(' COSTS PER ACRE - USER INPUT'!$G38:$R38)*' COSTS PER ACRE - USER INPUT'!R38)</f>
        <v>0</v>
      </c>
      <c r="N26" s="102">
        <f aca="true" t="shared" si="4" ref="N26:N31">SUM(B26:M26)</f>
        <v>43</v>
      </c>
    </row>
    <row r="27" spans="1:14" ht="11.25" customHeight="1">
      <c r="A27" s="9" t="str">
        <f>' COSTS PER ACRE - USER INPUT'!A39</f>
        <v>Office Expense</v>
      </c>
      <c r="B27" s="102">
        <f>(' COSTS PER ACRE - USER INPUT'!$F39/SUM(' COSTS PER ACRE - USER INPUT'!$G39:$R39)*' COSTS PER ACRE - USER INPUT'!G39)</f>
        <v>1.6666666666666667</v>
      </c>
      <c r="C27" s="102">
        <f>(' COSTS PER ACRE - USER INPUT'!$F39/SUM(' COSTS PER ACRE - USER INPUT'!$G39:$R39)*' COSTS PER ACRE - USER INPUT'!H39)</f>
        <v>1.6666666666666667</v>
      </c>
      <c r="D27" s="102">
        <f>(' COSTS PER ACRE - USER INPUT'!$F39/SUM(' COSTS PER ACRE - USER INPUT'!$G39:$R39)*' COSTS PER ACRE - USER INPUT'!I39)</f>
        <v>1.6666666666666667</v>
      </c>
      <c r="E27" s="102">
        <f>(' COSTS PER ACRE - USER INPUT'!$F39/SUM(' COSTS PER ACRE - USER INPUT'!$G39:$R39)*' COSTS PER ACRE - USER INPUT'!J39)</f>
        <v>1.6666666666666667</v>
      </c>
      <c r="F27" s="102">
        <f>(' COSTS PER ACRE - USER INPUT'!$F39/SUM(' COSTS PER ACRE - USER INPUT'!$G39:$R39)*' COSTS PER ACRE - USER INPUT'!K39)</f>
        <v>1.6666666666666667</v>
      </c>
      <c r="G27" s="102">
        <f>(' COSTS PER ACRE - USER INPUT'!$F39/SUM(' COSTS PER ACRE - USER INPUT'!$G39:$R39)*' COSTS PER ACRE - USER INPUT'!L39)</f>
        <v>1.6666666666666667</v>
      </c>
      <c r="H27" s="102">
        <f>(' COSTS PER ACRE - USER INPUT'!$F39/SUM(' COSTS PER ACRE - USER INPUT'!$G39:$R39)*' COSTS PER ACRE - USER INPUT'!M39)</f>
        <v>0</v>
      </c>
      <c r="I27" s="102">
        <f>(' COSTS PER ACRE - USER INPUT'!$F39/SUM(' COSTS PER ACRE - USER INPUT'!$G39:$R39)*' COSTS PER ACRE - USER INPUT'!N39)</f>
        <v>0</v>
      </c>
      <c r="J27" s="102">
        <f>(' COSTS PER ACRE - USER INPUT'!$F39/SUM(' COSTS PER ACRE - USER INPUT'!$G39:$R39)*' COSTS PER ACRE - USER INPUT'!O39)</f>
        <v>0</v>
      </c>
      <c r="K27" s="102">
        <f>(' COSTS PER ACRE - USER INPUT'!$F39/SUM(' COSTS PER ACRE - USER INPUT'!$G39:$R39)*' COSTS PER ACRE - USER INPUT'!P39)</f>
        <v>0</v>
      </c>
      <c r="L27" s="102">
        <f>(' COSTS PER ACRE - USER INPUT'!$F39/SUM(' COSTS PER ACRE - USER INPUT'!$G39:$R39)*' COSTS PER ACRE - USER INPUT'!Q39)</f>
        <v>0</v>
      </c>
      <c r="M27" s="102">
        <f>(' COSTS PER ACRE - USER INPUT'!$F39/SUM(' COSTS PER ACRE - USER INPUT'!$G39:$R39)*' COSTS PER ACRE - USER INPUT'!R39)</f>
        <v>0</v>
      </c>
      <c r="N27" s="102">
        <f t="shared" si="4"/>
        <v>10</v>
      </c>
    </row>
    <row r="28" spans="1:14" ht="11.25" customHeight="1">
      <c r="A28" s="9" t="str">
        <f>' COSTS PER ACRE - USER INPUT'!A40</f>
        <v>Land Rent</v>
      </c>
      <c r="B28" s="102">
        <f>(' COSTS PER ACRE - USER INPUT'!$F40/SUM(' COSTS PER ACRE - USER INPUT'!$G40:$R40)*' COSTS PER ACRE - USER INPUT'!G40)</f>
        <v>0</v>
      </c>
      <c r="C28" s="102">
        <f>(' COSTS PER ACRE - USER INPUT'!$F40/SUM(' COSTS PER ACRE - USER INPUT'!$G40:$R40)*' COSTS PER ACRE - USER INPUT'!H40)</f>
        <v>0</v>
      </c>
      <c r="D28" s="102">
        <f>(' COSTS PER ACRE - USER INPUT'!$F40/SUM(' COSTS PER ACRE - USER INPUT'!$G40:$R40)*' COSTS PER ACRE - USER INPUT'!I40)</f>
        <v>0</v>
      </c>
      <c r="E28" s="102">
        <f>(' COSTS PER ACRE - USER INPUT'!$F40/SUM(' COSTS PER ACRE - USER INPUT'!$G40:$R40)*' COSTS PER ACRE - USER INPUT'!J40)</f>
        <v>0</v>
      </c>
      <c r="F28" s="102">
        <f>(' COSTS PER ACRE - USER INPUT'!$F40/SUM(' COSTS PER ACRE - USER INPUT'!$G40:$R40)*' COSTS PER ACRE - USER INPUT'!K40)</f>
        <v>300</v>
      </c>
      <c r="G28" s="102">
        <f>(' COSTS PER ACRE - USER INPUT'!$F40/SUM(' COSTS PER ACRE - USER INPUT'!$G40:$R40)*' COSTS PER ACRE - USER INPUT'!L40)</f>
        <v>0</v>
      </c>
      <c r="H28" s="102">
        <f>(' COSTS PER ACRE - USER INPUT'!$F40/SUM(' COSTS PER ACRE - USER INPUT'!$G40:$R40)*' COSTS PER ACRE - USER INPUT'!M40)</f>
        <v>0</v>
      </c>
      <c r="I28" s="102">
        <f>(' COSTS PER ACRE - USER INPUT'!$F40/SUM(' COSTS PER ACRE - USER INPUT'!$G40:$R40)*' COSTS PER ACRE - USER INPUT'!N40)</f>
        <v>0</v>
      </c>
      <c r="J28" s="102">
        <f>(' COSTS PER ACRE - USER INPUT'!$F40/SUM(' COSTS PER ACRE - USER INPUT'!$G40:$R40)*' COSTS PER ACRE - USER INPUT'!O40)</f>
        <v>0</v>
      </c>
      <c r="K28" s="102">
        <f>(' COSTS PER ACRE - USER INPUT'!$F40/SUM(' COSTS PER ACRE - USER INPUT'!$G40:$R40)*' COSTS PER ACRE - USER INPUT'!P40)</f>
        <v>0</v>
      </c>
      <c r="L28" s="102">
        <f>(' COSTS PER ACRE - USER INPUT'!$F40/SUM(' COSTS PER ACRE - USER INPUT'!$G40:$R40)*' COSTS PER ACRE - USER INPUT'!Q40)</f>
        <v>0</v>
      </c>
      <c r="M28" s="102">
        <f>(' COSTS PER ACRE - USER INPUT'!$F40/SUM(' COSTS PER ACRE - USER INPUT'!$G40:$R40)*' COSTS PER ACRE - USER INPUT'!R40)</f>
        <v>0</v>
      </c>
      <c r="N28" s="102">
        <f t="shared" si="4"/>
        <v>300</v>
      </c>
    </row>
    <row r="29" spans="1:14" ht="12">
      <c r="A29" s="9" t="str">
        <f>' COSTS PER ACRE - USER INPUT'!A41</f>
        <v>Property Taxes</v>
      </c>
      <c r="B29" s="102">
        <f>(' COSTS PER ACRE - USER INPUT'!$F41/SUM(' COSTS PER ACRE - USER INPUT'!$G41:$R41)*' COSTS PER ACRE - USER INPUT'!G41)</f>
        <v>5</v>
      </c>
      <c r="C29" s="102">
        <f>(' COSTS PER ACRE - USER INPUT'!$F41/SUM(' COSTS PER ACRE - USER INPUT'!$G41:$R41)*' COSTS PER ACRE - USER INPUT'!H41)</f>
        <v>0</v>
      </c>
      <c r="D29" s="102">
        <f>(' COSTS PER ACRE - USER INPUT'!$F41/SUM(' COSTS PER ACRE - USER INPUT'!$G41:$R41)*' COSTS PER ACRE - USER INPUT'!I41)</f>
        <v>0</v>
      </c>
      <c r="E29" s="102">
        <f>(' COSTS PER ACRE - USER INPUT'!$F41/SUM(' COSTS PER ACRE - USER INPUT'!$G41:$R41)*' COSTS PER ACRE - USER INPUT'!J41)</f>
        <v>0</v>
      </c>
      <c r="F29" s="102">
        <f>(' COSTS PER ACRE - USER INPUT'!$F41/SUM(' COSTS PER ACRE - USER INPUT'!$G41:$R41)*' COSTS PER ACRE - USER INPUT'!K41)</f>
        <v>0</v>
      </c>
      <c r="G29" s="102">
        <f>(' COSTS PER ACRE - USER INPUT'!$F41/SUM(' COSTS PER ACRE - USER INPUT'!$G41:$R41)*' COSTS PER ACRE - USER INPUT'!L41)</f>
        <v>0</v>
      </c>
      <c r="H29" s="102">
        <f>(' COSTS PER ACRE - USER INPUT'!$F41/SUM(' COSTS PER ACRE - USER INPUT'!$G41:$R41)*' COSTS PER ACRE - USER INPUT'!M41)</f>
        <v>0</v>
      </c>
      <c r="I29" s="102">
        <f>(' COSTS PER ACRE - USER INPUT'!$F41/SUM(' COSTS PER ACRE - USER INPUT'!$G41:$R41)*' COSTS PER ACRE - USER INPUT'!N41)</f>
        <v>0</v>
      </c>
      <c r="J29" s="102">
        <f>(' COSTS PER ACRE - USER INPUT'!$F41/SUM(' COSTS PER ACRE - USER INPUT'!$G41:$R41)*' COSTS PER ACRE - USER INPUT'!O41)</f>
        <v>0</v>
      </c>
      <c r="K29" s="102">
        <f>(' COSTS PER ACRE - USER INPUT'!$F41/SUM(' COSTS PER ACRE - USER INPUT'!$G41:$R41)*' COSTS PER ACRE - USER INPUT'!P41)</f>
        <v>0</v>
      </c>
      <c r="L29" s="102">
        <f>(' COSTS PER ACRE - USER INPUT'!$F41/SUM(' COSTS PER ACRE - USER INPUT'!$G41:$R41)*' COSTS PER ACRE - USER INPUT'!Q41)</f>
        <v>0</v>
      </c>
      <c r="M29" s="102">
        <f>(' COSTS PER ACRE - USER INPUT'!$F41/SUM(' COSTS PER ACRE - USER INPUT'!$G41:$R41)*' COSTS PER ACRE - USER INPUT'!R41)</f>
        <v>0</v>
      </c>
      <c r="N29" s="102">
        <f t="shared" si="4"/>
        <v>5</v>
      </c>
    </row>
    <row r="30" spans="1:14" ht="12">
      <c r="A30" s="9" t="str">
        <f>' COSTS PER ACRE - USER INPUT'!A42</f>
        <v>Property Insurance</v>
      </c>
      <c r="B30" s="102">
        <f>(' COSTS PER ACRE - USER INPUT'!$F42/SUM(' COSTS PER ACRE - USER INPUT'!$G42:$R42)*' COSTS PER ACRE - USER INPUT'!G42)</f>
        <v>4</v>
      </c>
      <c r="C30" s="102">
        <f>(' COSTS PER ACRE - USER INPUT'!$F42/SUM(' COSTS PER ACRE - USER INPUT'!$G42:$R42)*' COSTS PER ACRE - USER INPUT'!H42)</f>
        <v>0</v>
      </c>
      <c r="D30" s="102">
        <f>(' COSTS PER ACRE - USER INPUT'!$F42/SUM(' COSTS PER ACRE - USER INPUT'!$G42:$R42)*' COSTS PER ACRE - USER INPUT'!I42)</f>
        <v>0</v>
      </c>
      <c r="E30" s="102">
        <f>(' COSTS PER ACRE - USER INPUT'!$F42/SUM(' COSTS PER ACRE - USER INPUT'!$G42:$R42)*' COSTS PER ACRE - USER INPUT'!J42)</f>
        <v>0</v>
      </c>
      <c r="F30" s="102">
        <f>(' COSTS PER ACRE - USER INPUT'!$F42/SUM(' COSTS PER ACRE - USER INPUT'!$G42:$R42)*' COSTS PER ACRE - USER INPUT'!K42)</f>
        <v>0</v>
      </c>
      <c r="G30" s="102">
        <f>(' COSTS PER ACRE - USER INPUT'!$F42/SUM(' COSTS PER ACRE - USER INPUT'!$G42:$R42)*' COSTS PER ACRE - USER INPUT'!L42)</f>
        <v>0</v>
      </c>
      <c r="H30" s="102">
        <f>(' COSTS PER ACRE - USER INPUT'!$F42/SUM(' COSTS PER ACRE - USER INPUT'!$G42:$R42)*' COSTS PER ACRE - USER INPUT'!M42)</f>
        <v>0</v>
      </c>
      <c r="I30" s="102">
        <f>(' COSTS PER ACRE - USER INPUT'!$F42/SUM(' COSTS PER ACRE - USER INPUT'!$G42:$R42)*' COSTS PER ACRE - USER INPUT'!N42)</f>
        <v>0</v>
      </c>
      <c r="J30" s="102">
        <f>(' COSTS PER ACRE - USER INPUT'!$F42/SUM(' COSTS PER ACRE - USER INPUT'!$G42:$R42)*' COSTS PER ACRE - USER INPUT'!O42)</f>
        <v>0</v>
      </c>
      <c r="K30" s="102">
        <f>(' COSTS PER ACRE - USER INPUT'!$F42/SUM(' COSTS PER ACRE - USER INPUT'!$G42:$R42)*' COSTS PER ACRE - USER INPUT'!P42)</f>
        <v>0</v>
      </c>
      <c r="L30" s="102">
        <f>(' COSTS PER ACRE - USER INPUT'!$F42/SUM(' COSTS PER ACRE - USER INPUT'!$G42:$R42)*' COSTS PER ACRE - USER INPUT'!Q42)</f>
        <v>0</v>
      </c>
      <c r="M30" s="102">
        <f>(' COSTS PER ACRE - USER INPUT'!$F42/SUM(' COSTS PER ACRE - USER INPUT'!$G42:$R42)*' COSTS PER ACRE - USER INPUT'!R42)</f>
        <v>0</v>
      </c>
      <c r="N30" s="102">
        <f t="shared" si="4"/>
        <v>4</v>
      </c>
    </row>
    <row r="31" spans="1:14" ht="12">
      <c r="A31" s="9" t="str">
        <f>' COSTS PER ACRE - USER INPUT'!A43</f>
        <v>Investment Repairs</v>
      </c>
      <c r="B31" s="102">
        <f>(' COSTS PER ACRE - USER INPUT'!$F43/SUM(' COSTS PER ACRE - USER INPUT'!$G43:$R43)*' COSTS PER ACRE - USER INPUT'!G43)</f>
        <v>0.25</v>
      </c>
      <c r="C31" s="102">
        <f>(' COSTS PER ACRE - USER INPUT'!$F43/SUM(' COSTS PER ACRE - USER INPUT'!$G43:$R43)*' COSTS PER ACRE - USER INPUT'!H43)</f>
        <v>0.25</v>
      </c>
      <c r="D31" s="102">
        <f>(' COSTS PER ACRE - USER INPUT'!$F43/SUM(' COSTS PER ACRE - USER INPUT'!$G43:$R43)*' COSTS PER ACRE - USER INPUT'!I43)</f>
        <v>0.25</v>
      </c>
      <c r="E31" s="102">
        <f>(' COSTS PER ACRE - USER INPUT'!$F43/SUM(' COSTS PER ACRE - USER INPUT'!$G43:$R43)*' COSTS PER ACRE - USER INPUT'!J43)</f>
        <v>0.25</v>
      </c>
      <c r="F31" s="102">
        <f>(' COSTS PER ACRE - USER INPUT'!$F43/SUM(' COSTS PER ACRE - USER INPUT'!$G43:$R43)*' COSTS PER ACRE - USER INPUT'!K43)</f>
        <v>0.25</v>
      </c>
      <c r="G31" s="102">
        <f>(' COSTS PER ACRE - USER INPUT'!$F43/SUM(' COSTS PER ACRE - USER INPUT'!$G43:$R43)*' COSTS PER ACRE - USER INPUT'!L43)</f>
        <v>0.25</v>
      </c>
      <c r="H31" s="102">
        <f>(' COSTS PER ACRE - USER INPUT'!$F43/SUM(' COSTS PER ACRE - USER INPUT'!$G43:$R43)*' COSTS PER ACRE - USER INPUT'!M43)</f>
        <v>0.25</v>
      </c>
      <c r="I31" s="102">
        <f>(' COSTS PER ACRE - USER INPUT'!$F43/SUM(' COSTS PER ACRE - USER INPUT'!$G43:$R43)*' COSTS PER ACRE - USER INPUT'!N43)</f>
        <v>0.25</v>
      </c>
      <c r="J31" s="102">
        <f>(' COSTS PER ACRE - USER INPUT'!$F43/SUM(' COSTS PER ACRE - USER INPUT'!$G43:$R43)*' COSTS PER ACRE - USER INPUT'!O43)</f>
        <v>0.25</v>
      </c>
      <c r="K31" s="102">
        <f>(' COSTS PER ACRE - USER INPUT'!$F43/SUM(' COSTS PER ACRE - USER INPUT'!$G43:$R43)*' COSTS PER ACRE - USER INPUT'!P43)</f>
        <v>0.25</v>
      </c>
      <c r="L31" s="102">
        <f>(' COSTS PER ACRE - USER INPUT'!$F43/SUM(' COSTS PER ACRE - USER INPUT'!$G43:$R43)*' COSTS PER ACRE - USER INPUT'!Q43)</f>
        <v>0.25</v>
      </c>
      <c r="M31" s="102">
        <f>(' COSTS PER ACRE - USER INPUT'!$F43/SUM(' COSTS PER ACRE - USER INPUT'!$G43:$R43)*' COSTS PER ACRE - USER INPUT'!R43)</f>
        <v>0.25</v>
      </c>
      <c r="N31" s="102">
        <f t="shared" si="4"/>
        <v>3</v>
      </c>
    </row>
    <row r="32" spans="1:14" ht="12">
      <c r="A32" s="15" t="s">
        <v>24</v>
      </c>
      <c r="B32" s="105">
        <f>SUM(B26:B31)</f>
        <v>53.916666666666664</v>
      </c>
      <c r="C32" s="105">
        <f aca="true" t="shared" si="5" ref="C32:N32">SUM(C26:C31)</f>
        <v>1.9166666666666667</v>
      </c>
      <c r="D32" s="105">
        <f t="shared" si="5"/>
        <v>1.9166666666666667</v>
      </c>
      <c r="E32" s="105">
        <f t="shared" si="5"/>
        <v>1.9166666666666667</v>
      </c>
      <c r="F32" s="105">
        <f t="shared" si="5"/>
        <v>301.9166666666667</v>
      </c>
      <c r="G32" s="105">
        <f t="shared" si="5"/>
        <v>1.9166666666666667</v>
      </c>
      <c r="H32" s="105">
        <f t="shared" si="5"/>
        <v>0.25</v>
      </c>
      <c r="I32" s="105">
        <f t="shared" si="5"/>
        <v>0.25</v>
      </c>
      <c r="J32" s="105">
        <f t="shared" si="5"/>
        <v>0.25</v>
      </c>
      <c r="K32" s="105">
        <f t="shared" si="5"/>
        <v>0.25</v>
      </c>
      <c r="L32" s="105">
        <f t="shared" si="5"/>
        <v>0.25</v>
      </c>
      <c r="M32" s="105">
        <f t="shared" si="5"/>
        <v>0.25</v>
      </c>
      <c r="N32" s="105">
        <f t="shared" si="5"/>
        <v>365</v>
      </c>
    </row>
    <row r="33" spans="1:14" ht="12">
      <c r="A33" s="15" t="s">
        <v>27</v>
      </c>
      <c r="B33" s="105">
        <f>B24+B32</f>
        <v>76.392375</v>
      </c>
      <c r="C33" s="105">
        <f aca="true" t="shared" si="6" ref="C33:N33">C24+C32</f>
        <v>193.09249875</v>
      </c>
      <c r="D33" s="105">
        <f t="shared" si="6"/>
        <v>212.04353125000003</v>
      </c>
      <c r="E33" s="105">
        <f t="shared" si="6"/>
        <v>113.49576625000002</v>
      </c>
      <c r="F33" s="105">
        <f t="shared" si="6"/>
        <v>1647.8925470833335</v>
      </c>
      <c r="G33" s="105">
        <f t="shared" si="6"/>
        <v>644.4387391666668</v>
      </c>
      <c r="H33" s="105">
        <f t="shared" si="6"/>
        <v>0.25</v>
      </c>
      <c r="I33" s="105">
        <f t="shared" si="6"/>
        <v>0.25</v>
      </c>
      <c r="J33" s="105">
        <f t="shared" si="6"/>
        <v>0.25</v>
      </c>
      <c r="K33" s="105">
        <f t="shared" si="6"/>
        <v>0.25</v>
      </c>
      <c r="L33" s="105">
        <f t="shared" si="6"/>
        <v>0.25</v>
      </c>
      <c r="M33" s="105">
        <f t="shared" si="6"/>
        <v>0.25</v>
      </c>
      <c r="N33" s="105">
        <f t="shared" si="6"/>
        <v>2888.8554575</v>
      </c>
    </row>
    <row r="34" spans="1:14" ht="12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"/>
    </row>
    <row r="35" spans="1:14" ht="12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"/>
    </row>
    <row r="36" spans="1:14" ht="12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"/>
    </row>
    <row r="37" spans="1:14" ht="12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6"/>
    </row>
    <row r="38" spans="1:14" ht="12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"/>
    </row>
    <row r="39" spans="1:14" ht="12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6"/>
    </row>
    <row r="40" spans="1:14" ht="12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"/>
    </row>
    <row r="41" spans="1:14" ht="12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</row>
    <row r="42" spans="1:14" ht="12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"/>
    </row>
    <row r="43" spans="1:14" ht="12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6"/>
    </row>
    <row r="44" spans="1:14" ht="12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6"/>
    </row>
    <row r="45" spans="1:14" ht="12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6"/>
    </row>
    <row r="46" spans="1:14" ht="12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6"/>
    </row>
    <row r="47" spans="1:14" ht="12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6"/>
    </row>
    <row r="48" spans="1:14" ht="12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6"/>
    </row>
    <row r="49" spans="1:14" ht="1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1"/>
    </row>
    <row r="54" spans="1:14" ht="12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>
      <c r="A55" s="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">
      <c r="A59" s="1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">
      <c r="A60" s="10"/>
      <c r="B60" s="11"/>
      <c r="C60" s="11"/>
      <c r="D60" s="11"/>
      <c r="E60" s="11"/>
      <c r="F60" s="11"/>
      <c r="G60" s="11"/>
      <c r="H60" s="11"/>
      <c r="I60" s="6"/>
      <c r="J60" s="11"/>
      <c r="K60" s="11"/>
      <c r="L60" s="11"/>
      <c r="M60" s="11"/>
      <c r="N60" s="6"/>
    </row>
    <row r="61" spans="1:14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">
      <c r="A65" s="1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">
      <c r="A66" s="1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">
      <c r="A67" s="1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">
      <c r="A68" s="1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>
      <c r="A69" s="1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">
      <c r="A70" s="1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">
      <c r="A71" s="1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</sheetData>
  <sheetProtection sheet="1" objects="1" scenarios="1"/>
  <mergeCells count="3">
    <mergeCell ref="A1:N1"/>
    <mergeCell ref="A3:N3"/>
    <mergeCell ref="A2:N2"/>
  </mergeCells>
  <printOptions/>
  <pageMargins left="0.75" right="0.75" top="0.25" bottom="0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6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2" customWidth="1"/>
    <col min="2" max="6" width="8.28125" style="2" customWidth="1"/>
    <col min="7" max="7" width="9.28125" style="2" customWidth="1"/>
    <col min="8" max="8" width="10.28125" style="2" customWidth="1"/>
    <col min="9" max="16384" width="9.140625" style="2" customWidth="1"/>
  </cols>
  <sheetData>
    <row r="1" spans="1:8" ht="12.75" customHeight="1">
      <c r="A1" s="52" t="s">
        <v>58</v>
      </c>
      <c r="B1" s="51"/>
      <c r="C1" s="51"/>
      <c r="D1" s="51"/>
      <c r="E1" s="51"/>
      <c r="F1" s="51"/>
      <c r="G1" s="51"/>
      <c r="H1" s="51"/>
    </row>
    <row r="2" spans="1:8" ht="12">
      <c r="A2" s="234" t="s">
        <v>70</v>
      </c>
      <c r="B2" s="235"/>
      <c r="C2" s="235"/>
      <c r="D2" s="235"/>
      <c r="E2" s="235"/>
      <c r="F2" s="235"/>
      <c r="G2" s="235"/>
      <c r="H2" s="235"/>
    </row>
    <row r="3" spans="1:8" ht="12">
      <c r="A3" s="234" t="s">
        <v>115</v>
      </c>
      <c r="B3" s="236"/>
      <c r="C3" s="236"/>
      <c r="D3" s="236"/>
      <c r="E3" s="236"/>
      <c r="F3" s="236"/>
      <c r="G3" s="236"/>
      <c r="H3" s="236"/>
    </row>
    <row r="4" spans="1:8" ht="12">
      <c r="A4" s="234" t="s">
        <v>116</v>
      </c>
      <c r="B4" s="236"/>
      <c r="C4" s="236"/>
      <c r="D4" s="236"/>
      <c r="E4" s="236"/>
      <c r="F4" s="236"/>
      <c r="G4" s="236"/>
      <c r="H4" s="236"/>
    </row>
    <row r="5" spans="1:8" ht="12">
      <c r="A5" s="234" t="s">
        <v>71</v>
      </c>
      <c r="B5" s="236"/>
      <c r="C5" s="236"/>
      <c r="D5" s="236"/>
      <c r="E5" s="236"/>
      <c r="F5" s="236"/>
      <c r="G5" s="236"/>
      <c r="H5" s="236"/>
    </row>
    <row r="6" spans="1:8" ht="12">
      <c r="A6" s="234" t="s">
        <v>68</v>
      </c>
      <c r="B6" s="237"/>
      <c r="C6" s="237"/>
      <c r="D6" s="237"/>
      <c r="E6" s="237"/>
      <c r="F6" s="237"/>
      <c r="G6" s="237"/>
      <c r="H6" s="237"/>
    </row>
    <row r="7" spans="1:8" ht="12">
      <c r="A7" s="234" t="s">
        <v>61</v>
      </c>
      <c r="B7" s="236"/>
      <c r="C7" s="236"/>
      <c r="D7" s="236"/>
      <c r="E7" s="236"/>
      <c r="F7" s="236"/>
      <c r="G7" s="236"/>
      <c r="H7" s="236"/>
    </row>
    <row r="8" spans="1:8" ht="12.75">
      <c r="A8" s="226"/>
      <c r="B8" s="227"/>
      <c r="C8" s="227"/>
      <c r="D8" s="227"/>
      <c r="E8" s="227"/>
      <c r="F8" s="227"/>
      <c r="G8" s="227"/>
      <c r="H8" s="227"/>
    </row>
    <row r="9" spans="1:8" ht="13.5" thickBot="1">
      <c r="A9" s="228" t="s">
        <v>67</v>
      </c>
      <c r="B9" s="228"/>
      <c r="C9" s="228"/>
      <c r="D9" s="228"/>
      <c r="E9" s="49"/>
      <c r="F9" s="49"/>
      <c r="G9" s="49"/>
      <c r="H9" s="49"/>
    </row>
    <row r="10" spans="1:8" ht="12.75">
      <c r="A10" s="67"/>
      <c r="B10" s="68" t="s">
        <v>66</v>
      </c>
      <c r="C10" s="69" t="s">
        <v>59</v>
      </c>
      <c r="D10" s="70"/>
      <c r="E10" s="49"/>
      <c r="F10" s="49"/>
      <c r="G10" s="49"/>
      <c r="H10" s="49"/>
    </row>
    <row r="11" spans="1:8" ht="12.75">
      <c r="A11" s="77" t="s">
        <v>157</v>
      </c>
      <c r="B11" s="199"/>
      <c r="C11" s="200" t="s">
        <v>158</v>
      </c>
      <c r="D11" s="202"/>
      <c r="E11" s="49"/>
      <c r="F11" s="49"/>
      <c r="G11" s="49"/>
      <c r="H11" s="49"/>
    </row>
    <row r="12" spans="1:8" ht="12.75">
      <c r="A12" s="77" t="s">
        <v>62</v>
      </c>
      <c r="B12" s="200">
        <v>550</v>
      </c>
      <c r="C12" s="62" t="str">
        <f>C11</f>
        <v>Box (40 lbs)</v>
      </c>
      <c r="D12" s="71"/>
      <c r="E12" s="49"/>
      <c r="F12" s="49"/>
      <c r="G12" s="49"/>
      <c r="H12" s="49"/>
    </row>
    <row r="13" spans="1:8" ht="12.75">
      <c r="A13" s="77" t="s">
        <v>63</v>
      </c>
      <c r="B13" s="200">
        <v>50</v>
      </c>
      <c r="C13" s="62" t="str">
        <f>C11</f>
        <v>Box (40 lbs)</v>
      </c>
      <c r="D13" s="71"/>
      <c r="E13" s="49"/>
      <c r="F13" s="49"/>
      <c r="G13" s="49"/>
      <c r="H13" s="49"/>
    </row>
    <row r="14" spans="1:8" ht="12.75">
      <c r="A14" s="77" t="s">
        <v>64</v>
      </c>
      <c r="B14" s="201">
        <v>10</v>
      </c>
      <c r="C14" s="54" t="str">
        <f>CONCATENATE("$/",$C$11)</f>
        <v>$/Box (40 lbs)</v>
      </c>
      <c r="D14" s="71"/>
      <c r="E14" s="49"/>
      <c r="F14" s="49"/>
      <c r="G14" s="49"/>
      <c r="H14" s="49"/>
    </row>
    <row r="15" spans="1:8" ht="12.75">
      <c r="A15" s="77" t="s">
        <v>65</v>
      </c>
      <c r="B15" s="201">
        <v>2</v>
      </c>
      <c r="C15" s="54" t="str">
        <f>CONCATENATE("$/",$C$11)</f>
        <v>$/Box (40 lbs)</v>
      </c>
      <c r="D15" s="71"/>
      <c r="E15" s="49"/>
      <c r="F15" s="49"/>
      <c r="G15" s="49"/>
      <c r="H15" s="49"/>
    </row>
    <row r="16" spans="1:8" ht="12.75">
      <c r="A16" s="78"/>
      <c r="B16" s="54"/>
      <c r="C16" s="55"/>
      <c r="D16" s="56"/>
      <c r="E16" s="49"/>
      <c r="F16" s="49"/>
      <c r="G16" s="49"/>
      <c r="H16" s="49"/>
    </row>
    <row r="17" spans="1:8" ht="12.75">
      <c r="A17" s="77" t="s">
        <v>45</v>
      </c>
      <c r="B17" s="59" t="s">
        <v>69</v>
      </c>
      <c r="C17" s="63" t="str">
        <f>CONCATENATE("Per"," ",$C$11)</f>
        <v>Per Box (40 lbs)</v>
      </c>
      <c r="D17" s="56"/>
      <c r="E17" s="49"/>
      <c r="F17" s="64"/>
      <c r="G17" s="59"/>
      <c r="H17" s="59"/>
    </row>
    <row r="18" spans="1:8" ht="12.75">
      <c r="A18" s="232" t="s">
        <v>72</v>
      </c>
      <c r="B18" s="227"/>
      <c r="C18" s="227"/>
      <c r="D18" s="233"/>
      <c r="E18" s="49"/>
      <c r="F18" s="64"/>
      <c r="G18" s="59"/>
      <c r="H18" s="59"/>
    </row>
    <row r="19" spans="1:8" ht="12.75">
      <c r="A19" s="72" t="s">
        <v>149</v>
      </c>
      <c r="B19" s="203"/>
      <c r="C19" s="204">
        <v>2.81</v>
      </c>
      <c r="D19" s="74" t="str">
        <f>IF(AND(B19&gt;0,C19&gt;0),"WARNING: Either enter cost per box or per acre but not both"," ")</f>
        <v> </v>
      </c>
      <c r="E19" s="49"/>
      <c r="F19" s="60"/>
      <c r="G19" s="65"/>
      <c r="H19" s="66"/>
    </row>
    <row r="20" spans="1:8" ht="13.5" thickBot="1">
      <c r="A20" s="73"/>
      <c r="B20" s="57"/>
      <c r="C20" s="57"/>
      <c r="D20" s="58"/>
      <c r="E20" s="49"/>
      <c r="F20" s="49"/>
      <c r="G20" s="49"/>
      <c r="H20" s="49"/>
    </row>
    <row r="21" spans="1:8" ht="12.75">
      <c r="A21" s="60"/>
      <c r="B21" s="54"/>
      <c r="C21" s="54"/>
      <c r="D21" s="55"/>
      <c r="E21" s="49"/>
      <c r="F21" s="49"/>
      <c r="G21" s="49"/>
      <c r="H21" s="49"/>
    </row>
    <row r="22" spans="1:8" ht="12.75" customHeight="1">
      <c r="A22" s="231" t="s">
        <v>37</v>
      </c>
      <c r="B22" s="231"/>
      <c r="C22" s="231"/>
      <c r="D22" s="231"/>
      <c r="E22" s="231"/>
      <c r="F22" s="231"/>
      <c r="G22" s="231"/>
      <c r="H22" s="231"/>
    </row>
    <row r="23" spans="1:8" ht="12">
      <c r="A23" s="28" t="s">
        <v>39</v>
      </c>
      <c r="B23" s="224" t="s">
        <v>117</v>
      </c>
      <c r="C23" s="224"/>
      <c r="D23" s="224"/>
      <c r="E23" s="29"/>
      <c r="F23" s="29"/>
      <c r="G23" s="29"/>
      <c r="H23" s="29"/>
    </row>
    <row r="24" spans="1:8" ht="12.75" customHeight="1">
      <c r="A24" s="231" t="str">
        <f>County_Region</f>
        <v>SAN JOAQUIN VALLEY - 2005</v>
      </c>
      <c r="B24" s="231"/>
      <c r="C24" s="231"/>
      <c r="D24" s="231"/>
      <c r="E24" s="231"/>
      <c r="F24" s="231"/>
      <c r="G24" s="231"/>
      <c r="H24" s="231"/>
    </row>
    <row r="25" spans="2:8" ht="12.75" customHeight="1">
      <c r="B25" s="27"/>
      <c r="C25" s="27"/>
      <c r="D25" s="27"/>
      <c r="E25" s="27"/>
      <c r="F25" s="27"/>
      <c r="G25" s="27"/>
      <c r="H25" s="27"/>
    </row>
    <row r="26" spans="1:8" ht="12.75">
      <c r="A26" s="53"/>
      <c r="B26" s="49"/>
      <c r="C26" s="49"/>
      <c r="D26" s="49"/>
      <c r="E26" s="49"/>
      <c r="F26" s="49"/>
      <c r="G26" s="49"/>
      <c r="H26" s="49"/>
    </row>
    <row r="27" spans="1:8" ht="12">
      <c r="A27" s="230" t="s">
        <v>123</v>
      </c>
      <c r="B27" s="230"/>
      <c r="C27" s="230"/>
      <c r="D27" s="230"/>
      <c r="E27" s="230"/>
      <c r="F27" s="230"/>
      <c r="G27" s="230"/>
      <c r="H27" s="230"/>
    </row>
    <row r="28" spans="1:8" ht="12">
      <c r="A28" s="31"/>
      <c r="B28" s="32"/>
      <c r="C28" s="32"/>
      <c r="D28" s="32"/>
      <c r="E28" s="33" t="str">
        <f>CONCATENATE("YIELD (",C11,"/ACRE)")</f>
        <v>YIELD (Box (40 lbs)/ACRE)</v>
      </c>
      <c r="F28" s="32"/>
      <c r="G28" s="32"/>
      <c r="H28" s="32"/>
    </row>
    <row r="29" spans="1:8" ht="12">
      <c r="A29" s="48"/>
      <c r="B29" s="95">
        <f>B12-2*B13</f>
        <v>450</v>
      </c>
      <c r="C29" s="95">
        <f>B12-B13</f>
        <v>500</v>
      </c>
      <c r="D29" s="95">
        <f>B12</f>
        <v>550</v>
      </c>
      <c r="E29" s="96">
        <f>B12+B13</f>
        <v>600</v>
      </c>
      <c r="F29" s="95">
        <f>B12+2*B13</f>
        <v>650</v>
      </c>
      <c r="G29" s="95">
        <f>B12+3*B13</f>
        <v>700</v>
      </c>
      <c r="H29" s="95">
        <f>B12+4*B13</f>
        <v>750</v>
      </c>
    </row>
    <row r="30" spans="1:8" ht="12">
      <c r="A30" s="30" t="s">
        <v>40</v>
      </c>
      <c r="B30" s="34"/>
      <c r="C30" s="34"/>
      <c r="D30" s="34"/>
      <c r="E30" s="34"/>
      <c r="F30" s="34"/>
      <c r="G30" s="34"/>
      <c r="H30" s="34"/>
    </row>
    <row r="31" spans="1:8" ht="12">
      <c r="A31" s="30" t="s">
        <v>57</v>
      </c>
      <c r="B31" s="34">
        <f>' COSTS PER ACRE - USER INPUT'!$F$30</f>
        <v>644.21</v>
      </c>
      <c r="C31" s="34">
        <f>' COSTS PER ACRE - USER INPUT'!$F$30</f>
        <v>644.21</v>
      </c>
      <c r="D31" s="34">
        <f>' COSTS PER ACRE - USER INPUT'!$F$30</f>
        <v>644.21</v>
      </c>
      <c r="E31" s="34">
        <f>' COSTS PER ACRE - USER INPUT'!$F$30</f>
        <v>644.21</v>
      </c>
      <c r="F31" s="34">
        <f>' COSTS PER ACRE - USER INPUT'!$F$30</f>
        <v>644.21</v>
      </c>
      <c r="G31" s="34">
        <f>' COSTS PER ACRE - USER INPUT'!$F$30</f>
        <v>644.21</v>
      </c>
      <c r="H31" s="34">
        <f>' COSTS PER ACRE - USER INPUT'!$F$30</f>
        <v>644.21</v>
      </c>
    </row>
    <row r="32" spans="1:9" ht="12.75">
      <c r="A32" s="30" t="s">
        <v>150</v>
      </c>
      <c r="B32" s="34">
        <f>IF($B19=0,$C19*B$29,$B19*(B29/$D29))</f>
        <v>1264.5</v>
      </c>
      <c r="C32" s="34">
        <f aca="true" t="shared" si="0" ref="C32:H32">IF($B19=0,$C19*C$29,$B19*(C29/$D29))</f>
        <v>1405</v>
      </c>
      <c r="D32" s="34">
        <f t="shared" si="0"/>
        <v>1545.5</v>
      </c>
      <c r="E32" s="34">
        <f t="shared" si="0"/>
        <v>1686</v>
      </c>
      <c r="F32" s="34">
        <f t="shared" si="0"/>
        <v>1826.5</v>
      </c>
      <c r="G32" s="34">
        <f t="shared" si="0"/>
        <v>1967</v>
      </c>
      <c r="H32" s="34">
        <f t="shared" si="0"/>
        <v>2107.5</v>
      </c>
      <c r="I32" s="196" t="str">
        <f>IF(AND(B19&gt;0,C19&gt;0),"&lt;--WARNING: Harvest cost cells may be overstated. Check Input Table costs."," ")</f>
        <v> </v>
      </c>
    </row>
    <row r="33" spans="1:8" ht="12">
      <c r="A33" s="30" t="s">
        <v>41</v>
      </c>
      <c r="B33" s="34">
        <f>'MONTHLY COSTS - OUTPUT'!$N$23+(SUM(B31:B32)-SUM(E31:E32))*' COSTS PER ACRE - USER INPUT'!$E$35/12</f>
        <v>28.958395</v>
      </c>
      <c r="C33" s="34">
        <f>'MONTHLY COSTS - OUTPUT'!$N$23+(SUM(C31:C32)-SUM(E31:E32))*' COSTS PER ACRE - USER INPUT'!$E$35/12</f>
        <v>29.8540825</v>
      </c>
      <c r="D33" s="34">
        <f>'MONTHLY COSTS - OUTPUT'!$N$23+(SUM(D31:D32)-SUM(E31:E32))*' COSTS PER ACRE - USER INPUT'!$E$35/12</f>
        <v>30.749769999999998</v>
      </c>
      <c r="E33" s="34">
        <f>'MONTHLY COSTS - OUTPUT'!$N$23+(SUM(E31:E32)-SUM(E31:E32))*' COSTS PER ACRE - USER INPUT'!$E$35/12</f>
        <v>31.6454575</v>
      </c>
      <c r="F33" s="34">
        <f>'MONTHLY COSTS - OUTPUT'!$N$23+(SUM(F31:F32)-SUM(E31:E32))*' COSTS PER ACRE - USER INPUT'!$E$35/12</f>
        <v>32.541145</v>
      </c>
      <c r="G33" s="34">
        <f>'MONTHLY COSTS - OUTPUT'!$N$23+(SUM(G31:G32)-SUM(E31:E32))*' COSTS PER ACRE - USER INPUT'!$E$35/12</f>
        <v>33.4368325</v>
      </c>
      <c r="H33" s="34">
        <f>'MONTHLY COSTS - OUTPUT'!$N$23+(SUM(H31:H32)-SUM(E31:E32))*' COSTS PER ACRE - USER INPUT'!$E$35/12</f>
        <v>34.33252</v>
      </c>
    </row>
    <row r="34" spans="1:8" ht="6" customHeight="1">
      <c r="A34" s="31"/>
      <c r="B34" s="34"/>
      <c r="C34" s="34"/>
      <c r="D34" s="34"/>
      <c r="E34" s="34"/>
      <c r="F34" s="34"/>
      <c r="G34" s="34"/>
      <c r="H34" s="34"/>
    </row>
    <row r="35" spans="1:8" ht="12">
      <c r="A35" s="197" t="s">
        <v>18</v>
      </c>
      <c r="B35" s="44">
        <f aca="true" t="shared" si="1" ref="B35:H35">SUM(B31:B34)</f>
        <v>1937.6683950000001</v>
      </c>
      <c r="C35" s="44">
        <f t="shared" si="1"/>
        <v>2079.0640825</v>
      </c>
      <c r="D35" s="44">
        <f t="shared" si="1"/>
        <v>2220.45977</v>
      </c>
      <c r="E35" s="44">
        <f t="shared" si="1"/>
        <v>2361.8554575</v>
      </c>
      <c r="F35" s="44">
        <f t="shared" si="1"/>
        <v>2503.251145</v>
      </c>
      <c r="G35" s="44">
        <f t="shared" si="1"/>
        <v>2644.6468325</v>
      </c>
      <c r="H35" s="44">
        <f t="shared" si="1"/>
        <v>2786.04252</v>
      </c>
    </row>
    <row r="36" spans="1:8" ht="12">
      <c r="A36" s="198" t="str">
        <f>CONCATENATE("Total Operating Costs/",$C$11)</f>
        <v>Total Operating Costs/Box (40 lbs)</v>
      </c>
      <c r="B36" s="81">
        <f aca="true" t="shared" si="2" ref="B36:H36">B35/B29</f>
        <v>4.305929766666667</v>
      </c>
      <c r="C36" s="81">
        <f t="shared" si="2"/>
        <v>4.158128165</v>
      </c>
      <c r="D36" s="81">
        <f t="shared" si="2"/>
        <v>4.037199581818181</v>
      </c>
      <c r="E36" s="81">
        <f t="shared" si="2"/>
        <v>3.9364257625</v>
      </c>
      <c r="F36" s="81">
        <f t="shared" si="2"/>
        <v>3.851155607692308</v>
      </c>
      <c r="G36" s="81">
        <f t="shared" si="2"/>
        <v>3.7780669035714287</v>
      </c>
      <c r="H36" s="81">
        <f t="shared" si="2"/>
        <v>3.71472336</v>
      </c>
    </row>
    <row r="37" spans="1:8" ht="6" customHeight="1">
      <c r="A37" s="31"/>
      <c r="B37" s="31"/>
      <c r="C37" s="31"/>
      <c r="D37" s="31"/>
      <c r="E37" s="31"/>
      <c r="F37" s="31"/>
      <c r="G37" s="31"/>
      <c r="H37" s="31"/>
    </row>
    <row r="38" spans="1:8" ht="12">
      <c r="A38" s="48" t="s">
        <v>42</v>
      </c>
      <c r="B38" s="80">
        <f>' COSTS PER ACRE - USER INPUT'!$F$44</f>
        <v>365</v>
      </c>
      <c r="C38" s="80">
        <f>' COSTS PER ACRE - USER INPUT'!$F$44</f>
        <v>365</v>
      </c>
      <c r="D38" s="80">
        <f>' COSTS PER ACRE - USER INPUT'!$F$44</f>
        <v>365</v>
      </c>
      <c r="E38" s="80">
        <f>' COSTS PER ACRE - USER INPUT'!$F$44</f>
        <v>365</v>
      </c>
      <c r="F38" s="80">
        <f>' COSTS PER ACRE - USER INPUT'!$F$44</f>
        <v>365</v>
      </c>
      <c r="G38" s="80">
        <f>' COSTS PER ACRE - USER INPUT'!$F$44</f>
        <v>365</v>
      </c>
      <c r="H38" s="80">
        <f>' COSTS PER ACRE - USER INPUT'!$F$44</f>
        <v>365</v>
      </c>
    </row>
    <row r="39" spans="1:8" ht="6" customHeight="1">
      <c r="A39" s="31"/>
      <c r="B39" s="34"/>
      <c r="C39" s="34"/>
      <c r="D39" s="34"/>
      <c r="E39" s="34"/>
      <c r="F39" s="34"/>
      <c r="G39" s="34"/>
      <c r="H39" s="34"/>
    </row>
    <row r="40" spans="1:8" ht="12">
      <c r="A40" s="197" t="s">
        <v>27</v>
      </c>
      <c r="B40" s="44">
        <f aca="true" t="shared" si="3" ref="B40:H40">B35+B38</f>
        <v>2302.668395</v>
      </c>
      <c r="C40" s="44">
        <f t="shared" si="3"/>
        <v>2444.0640825</v>
      </c>
      <c r="D40" s="44">
        <f t="shared" si="3"/>
        <v>2585.45977</v>
      </c>
      <c r="E40" s="44">
        <f t="shared" si="3"/>
        <v>2726.8554575</v>
      </c>
      <c r="F40" s="44">
        <f t="shared" si="3"/>
        <v>2868.251145</v>
      </c>
      <c r="G40" s="44">
        <f t="shared" si="3"/>
        <v>3009.6468325</v>
      </c>
      <c r="H40" s="44">
        <f t="shared" si="3"/>
        <v>3151.04252</v>
      </c>
    </row>
    <row r="41" spans="1:8" ht="12">
      <c r="A41" s="23" t="str">
        <f>CONCATENATE("Total Cash Costs/",$C$11)</f>
        <v>Total Cash Costs/Box (40 lbs)</v>
      </c>
      <c r="B41" s="81">
        <f>B40/B29</f>
        <v>5.117040877777778</v>
      </c>
      <c r="C41" s="81">
        <f aca="true" t="shared" si="4" ref="C41:H41">C40/C29</f>
        <v>4.888128165</v>
      </c>
      <c r="D41" s="81">
        <f t="shared" si="4"/>
        <v>4.700835945454545</v>
      </c>
      <c r="E41" s="81">
        <f t="shared" si="4"/>
        <v>4.544759095833333</v>
      </c>
      <c r="F41" s="81">
        <f t="shared" si="4"/>
        <v>4.41269406923077</v>
      </c>
      <c r="G41" s="81">
        <f t="shared" si="4"/>
        <v>4.2994954750000005</v>
      </c>
      <c r="H41" s="81">
        <f t="shared" si="4"/>
        <v>4.201390026666667</v>
      </c>
    </row>
    <row r="42" spans="1:8" ht="6" customHeight="1">
      <c r="A42" s="31"/>
      <c r="B42" s="31"/>
      <c r="C42" s="31"/>
      <c r="D42" s="31"/>
      <c r="E42" s="31"/>
      <c r="F42" s="31"/>
      <c r="G42" s="31"/>
      <c r="H42" s="31"/>
    </row>
    <row r="43" spans="1:8" ht="12">
      <c r="A43" s="48" t="s">
        <v>43</v>
      </c>
      <c r="B43" s="80">
        <v>128</v>
      </c>
      <c r="C43" s="80">
        <v>132</v>
      </c>
      <c r="D43" s="80">
        <v>135</v>
      </c>
      <c r="E43" s="80">
        <v>139</v>
      </c>
      <c r="F43" s="80">
        <v>142</v>
      </c>
      <c r="G43" s="80">
        <v>146</v>
      </c>
      <c r="H43" s="80">
        <v>149</v>
      </c>
    </row>
    <row r="44" spans="1:8" ht="6" customHeight="1">
      <c r="A44" s="31"/>
      <c r="B44" s="34"/>
      <c r="C44" s="34"/>
      <c r="D44" s="34"/>
      <c r="E44" s="34"/>
      <c r="F44" s="34"/>
      <c r="G44" s="34"/>
      <c r="H44" s="34"/>
    </row>
    <row r="45" spans="1:8" ht="12">
      <c r="A45" s="197" t="s">
        <v>26</v>
      </c>
      <c r="B45" s="44">
        <f>B40+B43</f>
        <v>2430.668395</v>
      </c>
      <c r="C45" s="44">
        <f aca="true" t="shared" si="5" ref="C45:H45">C40+C43</f>
        <v>2576.0640825</v>
      </c>
      <c r="D45" s="44">
        <f t="shared" si="5"/>
        <v>2720.45977</v>
      </c>
      <c r="E45" s="44">
        <f t="shared" si="5"/>
        <v>2865.8554575</v>
      </c>
      <c r="F45" s="44">
        <f t="shared" si="5"/>
        <v>3010.251145</v>
      </c>
      <c r="G45" s="44">
        <f t="shared" si="5"/>
        <v>3155.6468325</v>
      </c>
      <c r="H45" s="44">
        <f t="shared" si="5"/>
        <v>3300.04252</v>
      </c>
    </row>
    <row r="46" spans="1:8" ht="12">
      <c r="A46" s="23" t="str">
        <f>CONCATENATE("Total Costs/",$C$11)</f>
        <v>Total Costs/Box (40 lbs)</v>
      </c>
      <c r="B46" s="81">
        <f aca="true" t="shared" si="6" ref="B46:H46">B45/B29</f>
        <v>5.401485322222222</v>
      </c>
      <c r="C46" s="81">
        <f t="shared" si="6"/>
        <v>5.152128165</v>
      </c>
      <c r="D46" s="81">
        <f t="shared" si="6"/>
        <v>4.946290490909091</v>
      </c>
      <c r="E46" s="81">
        <f t="shared" si="6"/>
        <v>4.7764257625</v>
      </c>
      <c r="F46" s="81">
        <f t="shared" si="6"/>
        <v>4.631155607692308</v>
      </c>
      <c r="G46" s="81">
        <f t="shared" si="6"/>
        <v>4.508066903571429</v>
      </c>
      <c r="H46" s="81">
        <f t="shared" si="6"/>
        <v>4.400056693333333</v>
      </c>
    </row>
    <row r="47" spans="1:8" ht="12">
      <c r="A47" s="35"/>
      <c r="B47" s="36"/>
      <c r="C47" s="36"/>
      <c r="D47" s="36"/>
      <c r="E47" s="36"/>
      <c r="F47" s="36"/>
      <c r="G47" s="36"/>
      <c r="H47" s="36"/>
    </row>
    <row r="48" spans="1:8" ht="12.75">
      <c r="A48" s="50"/>
      <c r="B48" s="61"/>
      <c r="C48" s="61"/>
      <c r="D48" s="61"/>
      <c r="E48" s="61"/>
      <c r="F48" s="61"/>
      <c r="G48" s="61"/>
      <c r="H48" s="61"/>
    </row>
    <row r="49" spans="1:8" ht="12">
      <c r="A49" s="229" t="s">
        <v>54</v>
      </c>
      <c r="B49" s="229"/>
      <c r="C49" s="229"/>
      <c r="D49" s="229"/>
      <c r="E49" s="229"/>
      <c r="F49" s="229"/>
      <c r="G49" s="229"/>
      <c r="H49" s="229"/>
    </row>
    <row r="50" spans="1:8" ht="12">
      <c r="A50" s="37" t="s">
        <v>44</v>
      </c>
      <c r="B50" s="38"/>
      <c r="C50" s="38"/>
      <c r="D50" s="38"/>
      <c r="E50" s="39" t="str">
        <f>E28</f>
        <v>YIELD (Box (40 lbs)/ACRE)</v>
      </c>
      <c r="F50" s="38"/>
      <c r="G50" s="38"/>
      <c r="H50" s="38"/>
    </row>
    <row r="51" spans="1:8" ht="12">
      <c r="A51" s="40" t="str">
        <f>$C$14</f>
        <v>$/Box (40 lbs)</v>
      </c>
      <c r="B51" s="95">
        <f>B$29</f>
        <v>450</v>
      </c>
      <c r="C51" s="95">
        <f aca="true" t="shared" si="7" ref="C51:H51">C$29</f>
        <v>500</v>
      </c>
      <c r="D51" s="95">
        <f t="shared" si="7"/>
        <v>550</v>
      </c>
      <c r="E51" s="95">
        <f t="shared" si="7"/>
        <v>600</v>
      </c>
      <c r="F51" s="95">
        <f t="shared" si="7"/>
        <v>650</v>
      </c>
      <c r="G51" s="95">
        <f t="shared" si="7"/>
        <v>700</v>
      </c>
      <c r="H51" s="95">
        <f t="shared" si="7"/>
        <v>750</v>
      </c>
    </row>
    <row r="52" spans="1:8" ht="12">
      <c r="A52" s="194">
        <f>B14-3*B15</f>
        <v>4</v>
      </c>
      <c r="B52" s="34">
        <f>($B$51*$A52)-$B$35</f>
        <v>-137.66839500000015</v>
      </c>
      <c r="C52" s="34">
        <f aca="true" t="shared" si="8" ref="C52:C58">($C$51*$A52)-$C$35</f>
        <v>-79.06408250000004</v>
      </c>
      <c r="D52" s="34">
        <f aca="true" t="shared" si="9" ref="D52:D58">($D$51*$A52)-$D$35</f>
        <v>-20.459769999999935</v>
      </c>
      <c r="E52" s="34">
        <f aca="true" t="shared" si="10" ref="E52:E58">($E$51*$A52)-$E$35</f>
        <v>38.14454250000017</v>
      </c>
      <c r="F52" s="34">
        <f aca="true" t="shared" si="11" ref="F52:F58">($F$51*$A52)-$F$35</f>
        <v>96.74885499999982</v>
      </c>
      <c r="G52" s="34">
        <f aca="true" t="shared" si="12" ref="G52:G58">($G$51*$A52)-$G$35</f>
        <v>155.35316749999993</v>
      </c>
      <c r="H52" s="34">
        <f aca="true" t="shared" si="13" ref="H52:H58">($H$51*$A52)-$H$35</f>
        <v>213.95748000000003</v>
      </c>
    </row>
    <row r="53" spans="1:8" ht="12">
      <c r="A53" s="41">
        <f>B14-2*B15</f>
        <v>6</v>
      </c>
      <c r="B53" s="34">
        <f aca="true" t="shared" si="14" ref="B53:B58">($B$51*$A53)-$B$35</f>
        <v>762.3316049999999</v>
      </c>
      <c r="C53" s="34">
        <f t="shared" si="8"/>
        <v>920.9359175</v>
      </c>
      <c r="D53" s="34">
        <f t="shared" si="9"/>
        <v>1079.54023</v>
      </c>
      <c r="E53" s="34">
        <f t="shared" si="10"/>
        <v>1238.1445425000002</v>
      </c>
      <c r="F53" s="34">
        <f t="shared" si="11"/>
        <v>1396.7488549999998</v>
      </c>
      <c r="G53" s="34">
        <f t="shared" si="12"/>
        <v>1555.3531675</v>
      </c>
      <c r="H53" s="34">
        <f t="shared" si="13"/>
        <v>1713.95748</v>
      </c>
    </row>
    <row r="54" spans="1:8" ht="12">
      <c r="A54" s="41">
        <f>B14-B15</f>
        <v>8</v>
      </c>
      <c r="B54" s="34">
        <f t="shared" si="14"/>
        <v>1662.3316049999999</v>
      </c>
      <c r="C54" s="34">
        <f t="shared" si="8"/>
        <v>1920.9359175</v>
      </c>
      <c r="D54" s="34">
        <f t="shared" si="9"/>
        <v>2179.54023</v>
      </c>
      <c r="E54" s="34">
        <f t="shared" si="10"/>
        <v>2438.1445425</v>
      </c>
      <c r="F54" s="34">
        <f t="shared" si="11"/>
        <v>2696.748855</v>
      </c>
      <c r="G54" s="34">
        <f t="shared" si="12"/>
        <v>2955.3531675</v>
      </c>
      <c r="H54" s="34">
        <f t="shared" si="13"/>
        <v>3213.95748</v>
      </c>
    </row>
    <row r="55" spans="1:8" ht="12">
      <c r="A55" s="41">
        <f>B14</f>
        <v>10</v>
      </c>
      <c r="B55" s="34">
        <f t="shared" si="14"/>
        <v>2562.331605</v>
      </c>
      <c r="C55" s="34">
        <f t="shared" si="8"/>
        <v>2920.9359175</v>
      </c>
      <c r="D55" s="34">
        <f t="shared" si="9"/>
        <v>3279.54023</v>
      </c>
      <c r="E55" s="34">
        <f t="shared" si="10"/>
        <v>3638.1445425</v>
      </c>
      <c r="F55" s="34">
        <f t="shared" si="11"/>
        <v>3996.748855</v>
      </c>
      <c r="G55" s="34">
        <f t="shared" si="12"/>
        <v>4355.3531674999995</v>
      </c>
      <c r="H55" s="34">
        <f t="shared" si="13"/>
        <v>4713.95748</v>
      </c>
    </row>
    <row r="56" spans="1:8" ht="12">
      <c r="A56" s="41">
        <f>B14+B15</f>
        <v>12</v>
      </c>
      <c r="B56" s="34">
        <f t="shared" si="14"/>
        <v>3462.331605</v>
      </c>
      <c r="C56" s="34">
        <f t="shared" si="8"/>
        <v>3920.9359175</v>
      </c>
      <c r="D56" s="34">
        <f t="shared" si="9"/>
        <v>4379.5402300000005</v>
      </c>
      <c r="E56" s="34">
        <f t="shared" si="10"/>
        <v>4838.1445425</v>
      </c>
      <c r="F56" s="34">
        <f t="shared" si="11"/>
        <v>5296.748855</v>
      </c>
      <c r="G56" s="34">
        <f t="shared" si="12"/>
        <v>5755.3531674999995</v>
      </c>
      <c r="H56" s="34">
        <f t="shared" si="13"/>
        <v>6213.95748</v>
      </c>
    </row>
    <row r="57" spans="1:8" ht="12">
      <c r="A57" s="41">
        <f>B14+2*B15</f>
        <v>14</v>
      </c>
      <c r="B57" s="34">
        <f t="shared" si="14"/>
        <v>4362.331604999999</v>
      </c>
      <c r="C57" s="34">
        <f t="shared" si="8"/>
        <v>4920.9359175</v>
      </c>
      <c r="D57" s="34">
        <f t="shared" si="9"/>
        <v>5479.5402300000005</v>
      </c>
      <c r="E57" s="34">
        <f t="shared" si="10"/>
        <v>6038.1445425</v>
      </c>
      <c r="F57" s="34">
        <f t="shared" si="11"/>
        <v>6596.748855</v>
      </c>
      <c r="G57" s="34">
        <f t="shared" si="12"/>
        <v>7155.3531674999995</v>
      </c>
      <c r="H57" s="34">
        <f t="shared" si="13"/>
        <v>7713.95748</v>
      </c>
    </row>
    <row r="58" spans="1:8" ht="12">
      <c r="A58" s="195">
        <f>B14+3*B15</f>
        <v>16</v>
      </c>
      <c r="B58" s="252">
        <f t="shared" si="14"/>
        <v>5262.331604999999</v>
      </c>
      <c r="C58" s="252">
        <f t="shared" si="8"/>
        <v>5920.9359175</v>
      </c>
      <c r="D58" s="252">
        <f t="shared" si="9"/>
        <v>6579.5402300000005</v>
      </c>
      <c r="E58" s="252">
        <f t="shared" si="10"/>
        <v>7238.1445425</v>
      </c>
      <c r="F58" s="252">
        <f t="shared" si="11"/>
        <v>7896.748855</v>
      </c>
      <c r="G58" s="252">
        <f t="shared" si="12"/>
        <v>8555.3531675</v>
      </c>
      <c r="H58" s="252">
        <f t="shared" si="13"/>
        <v>9213.957480000001</v>
      </c>
    </row>
    <row r="59" spans="1:8" ht="12">
      <c r="A59" s="41"/>
      <c r="B59" s="42"/>
      <c r="C59" s="42"/>
      <c r="D59" s="42"/>
      <c r="E59" s="42"/>
      <c r="F59" s="42"/>
      <c r="G59" s="42"/>
      <c r="H59" s="42"/>
    </row>
    <row r="60" spans="1:9" ht="12">
      <c r="A60" s="30"/>
      <c r="B60" s="43"/>
      <c r="C60" s="34"/>
      <c r="D60" s="34"/>
      <c r="E60" s="34"/>
      <c r="F60" s="34"/>
      <c r="G60" s="34"/>
      <c r="H60" s="34"/>
      <c r="I60" s="3"/>
    </row>
    <row r="61" spans="1:9" ht="12">
      <c r="A61" s="229" t="s">
        <v>55</v>
      </c>
      <c r="B61" s="229"/>
      <c r="C61" s="229"/>
      <c r="D61" s="229"/>
      <c r="E61" s="229"/>
      <c r="F61" s="229"/>
      <c r="G61" s="229"/>
      <c r="H61" s="229"/>
      <c r="I61" s="3"/>
    </row>
    <row r="62" spans="1:8" ht="12">
      <c r="A62" s="37" t="s">
        <v>44</v>
      </c>
      <c r="B62" s="44"/>
      <c r="C62" s="44"/>
      <c r="D62" s="44"/>
      <c r="E62" s="45" t="str">
        <f>E28</f>
        <v>YIELD (Box (40 lbs)/ACRE)</v>
      </c>
      <c r="F62" s="44"/>
      <c r="G62" s="44"/>
      <c r="H62" s="44"/>
    </row>
    <row r="63" spans="1:8" ht="12">
      <c r="A63" s="40" t="str">
        <f>A51</f>
        <v>$/Box (40 lbs)</v>
      </c>
      <c r="B63" s="95">
        <f>B$29</f>
        <v>450</v>
      </c>
      <c r="C63" s="95">
        <f aca="true" t="shared" si="15" ref="C63:H63">C$29</f>
        <v>500</v>
      </c>
      <c r="D63" s="95">
        <f t="shared" si="15"/>
        <v>550</v>
      </c>
      <c r="E63" s="95">
        <f t="shared" si="15"/>
        <v>600</v>
      </c>
      <c r="F63" s="95">
        <f t="shared" si="15"/>
        <v>650</v>
      </c>
      <c r="G63" s="95">
        <f t="shared" si="15"/>
        <v>700</v>
      </c>
      <c r="H63" s="95">
        <f t="shared" si="15"/>
        <v>750</v>
      </c>
    </row>
    <row r="64" spans="1:8" ht="12">
      <c r="A64" s="194">
        <f>$A52</f>
        <v>4</v>
      </c>
      <c r="B64" s="34">
        <f aca="true" t="shared" si="16" ref="B64:B70">($B$63*$A64)-$B$40</f>
        <v>-502.66839500000015</v>
      </c>
      <c r="C64" s="34">
        <f aca="true" t="shared" si="17" ref="C64:C70">($C$63*$A64)-$C$40</f>
        <v>-444.06408250000004</v>
      </c>
      <c r="D64" s="34">
        <f aca="true" t="shared" si="18" ref="D64:D70">($D$63*$A64)-$D$40</f>
        <v>-385.45976999999993</v>
      </c>
      <c r="E64" s="34">
        <f aca="true" t="shared" si="19" ref="E64:E70">($E$63*$A64)-$E$40</f>
        <v>-326.85545749999983</v>
      </c>
      <c r="F64" s="34">
        <f aca="true" t="shared" si="20" ref="F64:F70">($F$63*$A64)-$F$40</f>
        <v>-268.2511450000002</v>
      </c>
      <c r="G64" s="34">
        <f aca="true" t="shared" si="21" ref="G64:G70">($G$63*$A64)-$G$40</f>
        <v>-209.64683250000007</v>
      </c>
      <c r="H64" s="34">
        <f aca="true" t="shared" si="22" ref="H64:H70">($H$63*$A64)-$H$40</f>
        <v>-151.04251999999997</v>
      </c>
    </row>
    <row r="65" spans="1:8" ht="12">
      <c r="A65" s="41">
        <f aca="true" t="shared" si="23" ref="A65:A70">$A53</f>
        <v>6</v>
      </c>
      <c r="B65" s="34">
        <f t="shared" si="16"/>
        <v>397.33160499999985</v>
      </c>
      <c r="C65" s="34">
        <f t="shared" si="17"/>
        <v>555.9359175</v>
      </c>
      <c r="D65" s="34">
        <f t="shared" si="18"/>
        <v>714.5402300000001</v>
      </c>
      <c r="E65" s="34">
        <f t="shared" si="19"/>
        <v>873.1445425000002</v>
      </c>
      <c r="F65" s="34">
        <f t="shared" si="20"/>
        <v>1031.7488549999998</v>
      </c>
      <c r="G65" s="34">
        <f t="shared" si="21"/>
        <v>1190.3531675</v>
      </c>
      <c r="H65" s="34">
        <f t="shared" si="22"/>
        <v>1348.95748</v>
      </c>
    </row>
    <row r="66" spans="1:8" ht="12">
      <c r="A66" s="41">
        <f t="shared" si="23"/>
        <v>8</v>
      </c>
      <c r="B66" s="34">
        <f t="shared" si="16"/>
        <v>1297.3316049999999</v>
      </c>
      <c r="C66" s="34">
        <f t="shared" si="17"/>
        <v>1555.9359175</v>
      </c>
      <c r="D66" s="34">
        <f t="shared" si="18"/>
        <v>1814.54023</v>
      </c>
      <c r="E66" s="34">
        <f t="shared" si="19"/>
        <v>2073.1445425</v>
      </c>
      <c r="F66" s="34">
        <f t="shared" si="20"/>
        <v>2331.748855</v>
      </c>
      <c r="G66" s="34">
        <f t="shared" si="21"/>
        <v>2590.3531675</v>
      </c>
      <c r="H66" s="34">
        <f t="shared" si="22"/>
        <v>2848.95748</v>
      </c>
    </row>
    <row r="67" spans="1:8" ht="12">
      <c r="A67" s="41">
        <f t="shared" si="23"/>
        <v>10</v>
      </c>
      <c r="B67" s="34">
        <f t="shared" si="16"/>
        <v>2197.331605</v>
      </c>
      <c r="C67" s="34">
        <f t="shared" si="17"/>
        <v>2555.9359175</v>
      </c>
      <c r="D67" s="34">
        <f t="shared" si="18"/>
        <v>2914.54023</v>
      </c>
      <c r="E67" s="34">
        <f t="shared" si="19"/>
        <v>3273.1445425</v>
      </c>
      <c r="F67" s="34">
        <f t="shared" si="20"/>
        <v>3631.748855</v>
      </c>
      <c r="G67" s="34">
        <f t="shared" si="21"/>
        <v>3990.3531675</v>
      </c>
      <c r="H67" s="34">
        <f t="shared" si="22"/>
        <v>4348.95748</v>
      </c>
    </row>
    <row r="68" spans="1:8" ht="12">
      <c r="A68" s="41">
        <f t="shared" si="23"/>
        <v>12</v>
      </c>
      <c r="B68" s="34">
        <f t="shared" si="16"/>
        <v>3097.331605</v>
      </c>
      <c r="C68" s="34">
        <f t="shared" si="17"/>
        <v>3555.9359175</v>
      </c>
      <c r="D68" s="34">
        <f t="shared" si="18"/>
        <v>4014.54023</v>
      </c>
      <c r="E68" s="34">
        <f t="shared" si="19"/>
        <v>4473.1445425</v>
      </c>
      <c r="F68" s="34">
        <f t="shared" si="20"/>
        <v>4931.748855</v>
      </c>
      <c r="G68" s="34">
        <f t="shared" si="21"/>
        <v>5390.3531674999995</v>
      </c>
      <c r="H68" s="34">
        <f t="shared" si="22"/>
        <v>5848.95748</v>
      </c>
    </row>
    <row r="69" spans="1:8" ht="12">
      <c r="A69" s="41">
        <f t="shared" si="23"/>
        <v>14</v>
      </c>
      <c r="B69" s="34">
        <f t="shared" si="16"/>
        <v>3997.331605</v>
      </c>
      <c r="C69" s="34">
        <f t="shared" si="17"/>
        <v>4555.9359175</v>
      </c>
      <c r="D69" s="34">
        <f t="shared" si="18"/>
        <v>5114.5402300000005</v>
      </c>
      <c r="E69" s="34">
        <f t="shared" si="19"/>
        <v>5673.1445425</v>
      </c>
      <c r="F69" s="34">
        <f t="shared" si="20"/>
        <v>6231.748855</v>
      </c>
      <c r="G69" s="34">
        <f t="shared" si="21"/>
        <v>6790.3531674999995</v>
      </c>
      <c r="H69" s="34">
        <f t="shared" si="22"/>
        <v>7348.95748</v>
      </c>
    </row>
    <row r="70" spans="1:8" ht="12">
      <c r="A70" s="195">
        <f t="shared" si="23"/>
        <v>16</v>
      </c>
      <c r="B70" s="252">
        <f t="shared" si="16"/>
        <v>4897.331604999999</v>
      </c>
      <c r="C70" s="252">
        <f t="shared" si="17"/>
        <v>5555.9359175</v>
      </c>
      <c r="D70" s="252">
        <f t="shared" si="18"/>
        <v>6214.5402300000005</v>
      </c>
      <c r="E70" s="252">
        <f t="shared" si="19"/>
        <v>6873.1445425</v>
      </c>
      <c r="F70" s="252">
        <f t="shared" si="20"/>
        <v>7531.748855</v>
      </c>
      <c r="G70" s="252">
        <f t="shared" si="21"/>
        <v>8190.3531674999995</v>
      </c>
      <c r="H70" s="252">
        <f t="shared" si="22"/>
        <v>8848.957480000001</v>
      </c>
    </row>
    <row r="71" spans="1:8" ht="12">
      <c r="A71" s="41"/>
      <c r="B71" s="42"/>
      <c r="C71" s="42"/>
      <c r="D71" s="42"/>
      <c r="E71" s="42"/>
      <c r="F71" s="42"/>
      <c r="G71" s="42"/>
      <c r="H71" s="42"/>
    </row>
    <row r="72" spans="1:8" ht="12.75">
      <c r="A72" s="21"/>
      <c r="B72" s="21"/>
      <c r="C72" s="21"/>
      <c r="D72" s="21"/>
      <c r="E72" s="21"/>
      <c r="F72" s="21"/>
      <c r="G72" s="21"/>
      <c r="H72" s="21"/>
    </row>
    <row r="73" spans="1:8" ht="12">
      <c r="A73" s="229" t="s">
        <v>56</v>
      </c>
      <c r="B73" s="229"/>
      <c r="C73" s="229"/>
      <c r="D73" s="229"/>
      <c r="E73" s="229"/>
      <c r="F73" s="229"/>
      <c r="G73" s="229"/>
      <c r="H73" s="229"/>
    </row>
    <row r="74" spans="1:8" ht="12">
      <c r="A74" s="37" t="s">
        <v>44</v>
      </c>
      <c r="B74" s="46"/>
      <c r="C74" s="46"/>
      <c r="D74" s="46"/>
      <c r="E74" s="45" t="str">
        <f>E28</f>
        <v>YIELD (Box (40 lbs)/ACRE)</v>
      </c>
      <c r="F74" s="46"/>
      <c r="G74" s="46"/>
      <c r="H74" s="46"/>
    </row>
    <row r="75" spans="1:8" ht="12">
      <c r="A75" s="40" t="str">
        <f>A51</f>
        <v>$/Box (40 lbs)</v>
      </c>
      <c r="B75" s="95">
        <f>B$29</f>
        <v>450</v>
      </c>
      <c r="C75" s="95">
        <f aca="true" t="shared" si="24" ref="C75:H75">C$29</f>
        <v>500</v>
      </c>
      <c r="D75" s="95">
        <f t="shared" si="24"/>
        <v>550</v>
      </c>
      <c r="E75" s="95">
        <f t="shared" si="24"/>
        <v>600</v>
      </c>
      <c r="F75" s="95">
        <f t="shared" si="24"/>
        <v>650</v>
      </c>
      <c r="G75" s="95">
        <f t="shared" si="24"/>
        <v>700</v>
      </c>
      <c r="H75" s="95">
        <f t="shared" si="24"/>
        <v>750</v>
      </c>
    </row>
    <row r="76" spans="1:8" ht="12">
      <c r="A76" s="193">
        <f>$A64</f>
        <v>4</v>
      </c>
      <c r="B76" s="34">
        <f aca="true" t="shared" si="25" ref="B76:B82">($B$75*$A76)-$B$45</f>
        <v>-630.6683950000001</v>
      </c>
      <c r="C76" s="34">
        <f aca="true" t="shared" si="26" ref="C76:C82">($C$75*$A76)-$C$45</f>
        <v>-576.0640825</v>
      </c>
      <c r="D76" s="34">
        <f aca="true" t="shared" si="27" ref="D76:D82">($D$75*$A76)-$D$45</f>
        <v>-520.4597699999999</v>
      </c>
      <c r="E76" s="34">
        <f aca="true" t="shared" si="28" ref="E76:E82">($E$75*$A76)-$E$45</f>
        <v>-465.85545749999983</v>
      </c>
      <c r="F76" s="34">
        <f aca="true" t="shared" si="29" ref="F76:F82">($F$75*$A76)-$F$45</f>
        <v>-410.2511450000002</v>
      </c>
      <c r="G76" s="34">
        <f aca="true" t="shared" si="30" ref="G76:G82">($G$75*$A76)-$G$45</f>
        <v>-355.6468325000001</v>
      </c>
      <c r="H76" s="34">
        <f aca="true" t="shared" si="31" ref="H76:H82">($H$75*$A76)-$H$45</f>
        <v>-300.04251999999997</v>
      </c>
    </row>
    <row r="77" spans="1:8" ht="12">
      <c r="A77" s="193">
        <f aca="true" t="shared" si="32" ref="A77:A82">$A65</f>
        <v>6</v>
      </c>
      <c r="B77" s="34">
        <f t="shared" si="25"/>
        <v>269.33160499999985</v>
      </c>
      <c r="C77" s="34">
        <f t="shared" si="26"/>
        <v>423.93591749999996</v>
      </c>
      <c r="D77" s="34">
        <f t="shared" si="27"/>
        <v>579.5402300000001</v>
      </c>
      <c r="E77" s="34">
        <f t="shared" si="28"/>
        <v>734.1445425000002</v>
      </c>
      <c r="F77" s="34">
        <f t="shared" si="29"/>
        <v>889.7488549999998</v>
      </c>
      <c r="G77" s="34">
        <f t="shared" si="30"/>
        <v>1044.3531675</v>
      </c>
      <c r="H77" s="34">
        <f t="shared" si="31"/>
        <v>1199.95748</v>
      </c>
    </row>
    <row r="78" spans="1:8" ht="12">
      <c r="A78" s="193">
        <f t="shared" si="32"/>
        <v>8</v>
      </c>
      <c r="B78" s="34">
        <f t="shared" si="25"/>
        <v>1169.3316049999999</v>
      </c>
      <c r="C78" s="34">
        <f t="shared" si="26"/>
        <v>1423.9359175</v>
      </c>
      <c r="D78" s="34">
        <f t="shared" si="27"/>
        <v>1679.54023</v>
      </c>
      <c r="E78" s="34">
        <f t="shared" si="28"/>
        <v>1934.1445425000002</v>
      </c>
      <c r="F78" s="34">
        <f t="shared" si="29"/>
        <v>2189.748855</v>
      </c>
      <c r="G78" s="34">
        <f t="shared" si="30"/>
        <v>2444.3531675</v>
      </c>
      <c r="H78" s="34">
        <f t="shared" si="31"/>
        <v>2699.95748</v>
      </c>
    </row>
    <row r="79" spans="1:8" ht="12">
      <c r="A79" s="193">
        <f t="shared" si="32"/>
        <v>10</v>
      </c>
      <c r="B79" s="34">
        <f t="shared" si="25"/>
        <v>2069.331605</v>
      </c>
      <c r="C79" s="34">
        <f t="shared" si="26"/>
        <v>2423.9359175</v>
      </c>
      <c r="D79" s="34">
        <f t="shared" si="27"/>
        <v>2779.54023</v>
      </c>
      <c r="E79" s="34">
        <f t="shared" si="28"/>
        <v>3134.1445425</v>
      </c>
      <c r="F79" s="34">
        <f t="shared" si="29"/>
        <v>3489.748855</v>
      </c>
      <c r="G79" s="34">
        <f t="shared" si="30"/>
        <v>3844.3531675</v>
      </c>
      <c r="H79" s="34">
        <f t="shared" si="31"/>
        <v>4199.95748</v>
      </c>
    </row>
    <row r="80" spans="1:8" ht="12">
      <c r="A80" s="193">
        <f t="shared" si="32"/>
        <v>12</v>
      </c>
      <c r="B80" s="34">
        <f t="shared" si="25"/>
        <v>2969.331605</v>
      </c>
      <c r="C80" s="34">
        <f t="shared" si="26"/>
        <v>3423.9359175</v>
      </c>
      <c r="D80" s="34">
        <f t="shared" si="27"/>
        <v>3879.54023</v>
      </c>
      <c r="E80" s="34">
        <f t="shared" si="28"/>
        <v>4334.1445425</v>
      </c>
      <c r="F80" s="34">
        <f t="shared" si="29"/>
        <v>4789.748855</v>
      </c>
      <c r="G80" s="34">
        <f t="shared" si="30"/>
        <v>5244.3531674999995</v>
      </c>
      <c r="H80" s="34">
        <f t="shared" si="31"/>
        <v>5699.95748</v>
      </c>
    </row>
    <row r="81" spans="1:8" ht="12">
      <c r="A81" s="193">
        <f t="shared" si="32"/>
        <v>14</v>
      </c>
      <c r="B81" s="34">
        <f t="shared" si="25"/>
        <v>3869.331605</v>
      </c>
      <c r="C81" s="34">
        <f t="shared" si="26"/>
        <v>4423.9359175</v>
      </c>
      <c r="D81" s="34">
        <f t="shared" si="27"/>
        <v>4979.5402300000005</v>
      </c>
      <c r="E81" s="34">
        <f t="shared" si="28"/>
        <v>5534.1445425</v>
      </c>
      <c r="F81" s="34">
        <f t="shared" si="29"/>
        <v>6089.748855</v>
      </c>
      <c r="G81" s="34">
        <f t="shared" si="30"/>
        <v>6644.3531674999995</v>
      </c>
      <c r="H81" s="34">
        <f t="shared" si="31"/>
        <v>7199.95748</v>
      </c>
    </row>
    <row r="82" spans="1:8" ht="12">
      <c r="A82" s="195">
        <f t="shared" si="32"/>
        <v>16</v>
      </c>
      <c r="B82" s="252">
        <f t="shared" si="25"/>
        <v>4769.331604999999</v>
      </c>
      <c r="C82" s="252">
        <f t="shared" si="26"/>
        <v>5423.9359175</v>
      </c>
      <c r="D82" s="252">
        <f t="shared" si="27"/>
        <v>6079.5402300000005</v>
      </c>
      <c r="E82" s="252">
        <f t="shared" si="28"/>
        <v>6734.1445425</v>
      </c>
      <c r="F82" s="252">
        <f t="shared" si="29"/>
        <v>7389.748855</v>
      </c>
      <c r="G82" s="252">
        <f t="shared" si="30"/>
        <v>8044.3531674999995</v>
      </c>
      <c r="H82" s="252">
        <f t="shared" si="31"/>
        <v>8699.957480000001</v>
      </c>
    </row>
    <row r="83" spans="1:8" ht="12">
      <c r="A83" s="31"/>
      <c r="B83" s="31"/>
      <c r="C83" s="31"/>
      <c r="D83" s="31"/>
      <c r="E83" s="31"/>
      <c r="F83" s="31"/>
      <c r="G83" s="31"/>
      <c r="H83" s="31"/>
    </row>
    <row r="84" spans="1:8" ht="12">
      <c r="A84" s="31"/>
      <c r="B84" s="31"/>
      <c r="C84" s="31"/>
      <c r="D84" s="31"/>
      <c r="E84" s="31"/>
      <c r="F84" s="31"/>
      <c r="G84" s="31"/>
      <c r="H84" s="31"/>
    </row>
    <row r="85" spans="1:8" ht="12">
      <c r="A85" s="31"/>
      <c r="B85" s="31"/>
      <c r="C85" s="31"/>
      <c r="D85" s="31"/>
      <c r="E85" s="31"/>
      <c r="F85" s="31"/>
      <c r="G85" s="31"/>
      <c r="H85" s="31"/>
    </row>
    <row r="86" spans="1:8" ht="12">
      <c r="A86" s="31"/>
      <c r="B86" s="31"/>
      <c r="C86" s="31"/>
      <c r="D86" s="31"/>
      <c r="E86" s="31"/>
      <c r="F86" s="31"/>
      <c r="G86" s="31"/>
      <c r="H86" s="31"/>
    </row>
    <row r="87" spans="1:8" ht="12">
      <c r="A87" s="31"/>
      <c r="B87" s="31"/>
      <c r="C87" s="31"/>
      <c r="D87" s="31"/>
      <c r="E87" s="31"/>
      <c r="F87" s="31"/>
      <c r="G87" s="31"/>
      <c r="H87" s="31"/>
    </row>
    <row r="88" spans="1:8" ht="12">
      <c r="A88" s="31"/>
      <c r="B88" s="31"/>
      <c r="C88" s="31"/>
      <c r="D88" s="31"/>
      <c r="E88" s="31"/>
      <c r="F88" s="31"/>
      <c r="G88" s="31"/>
      <c r="H88" s="31"/>
    </row>
    <row r="89" spans="1:8" ht="12">
      <c r="A89" s="31"/>
      <c r="B89" s="31"/>
      <c r="C89" s="31"/>
      <c r="D89" s="31"/>
      <c r="E89" s="31"/>
      <c r="F89" s="31"/>
      <c r="G89" s="31"/>
      <c r="H89" s="31"/>
    </row>
    <row r="90" spans="1:8" ht="12">
      <c r="A90" s="31"/>
      <c r="B90" s="31"/>
      <c r="C90" s="31"/>
      <c r="D90" s="31"/>
      <c r="E90" s="31"/>
      <c r="F90" s="31"/>
      <c r="G90" s="31"/>
      <c r="H90" s="31"/>
    </row>
    <row r="91" spans="1:8" ht="12">
      <c r="A91" s="31"/>
      <c r="B91" s="31"/>
      <c r="C91" s="31"/>
      <c r="D91" s="31"/>
      <c r="E91" s="31"/>
      <c r="F91" s="31"/>
      <c r="G91" s="31"/>
      <c r="H91" s="31"/>
    </row>
    <row r="92" spans="1:8" ht="12">
      <c r="A92" s="31"/>
      <c r="B92" s="31"/>
      <c r="C92" s="31"/>
      <c r="D92" s="31"/>
      <c r="E92" s="31"/>
      <c r="F92" s="31"/>
      <c r="G92" s="31"/>
      <c r="H92" s="31"/>
    </row>
    <row r="93" spans="1:8" ht="12">
      <c r="A93" s="31"/>
      <c r="B93" s="31"/>
      <c r="C93" s="31"/>
      <c r="D93" s="31"/>
      <c r="E93" s="31"/>
      <c r="F93" s="31"/>
      <c r="G93" s="31"/>
      <c r="H93" s="31"/>
    </row>
    <row r="94" spans="1:8" ht="12">
      <c r="A94" s="31"/>
      <c r="B94" s="31"/>
      <c r="C94" s="31"/>
      <c r="D94" s="31"/>
      <c r="E94" s="31"/>
      <c r="F94" s="31"/>
      <c r="G94" s="31"/>
      <c r="H94" s="31"/>
    </row>
    <row r="95" spans="1:8" ht="12">
      <c r="A95" s="31"/>
      <c r="B95" s="31"/>
      <c r="C95" s="31"/>
      <c r="D95" s="31"/>
      <c r="E95" s="31"/>
      <c r="F95" s="31"/>
      <c r="G95" s="31"/>
      <c r="H95" s="31"/>
    </row>
    <row r="96" spans="1:8" ht="12">
      <c r="A96" s="31"/>
      <c r="B96" s="31"/>
      <c r="C96" s="31"/>
      <c r="D96" s="31"/>
      <c r="E96" s="31"/>
      <c r="F96" s="31"/>
      <c r="G96" s="31"/>
      <c r="H96" s="31"/>
    </row>
    <row r="97" spans="1:8" ht="12">
      <c r="A97" s="31"/>
      <c r="B97" s="31"/>
      <c r="C97" s="31"/>
      <c r="D97" s="31"/>
      <c r="E97" s="31"/>
      <c r="F97" s="31"/>
      <c r="G97" s="31"/>
      <c r="H97" s="31"/>
    </row>
    <row r="98" spans="1:8" ht="12">
      <c r="A98" s="31"/>
      <c r="B98" s="31"/>
      <c r="C98" s="31"/>
      <c r="D98" s="31"/>
      <c r="E98" s="31"/>
      <c r="F98" s="31"/>
      <c r="G98" s="31"/>
      <c r="H98" s="31"/>
    </row>
    <row r="99" spans="1:8" ht="12">
      <c r="A99" s="31"/>
      <c r="B99" s="31"/>
      <c r="C99" s="31"/>
      <c r="D99" s="31"/>
      <c r="E99" s="31"/>
      <c r="F99" s="31"/>
      <c r="G99" s="31"/>
      <c r="H99" s="31"/>
    </row>
    <row r="100" spans="1:8" ht="12">
      <c r="A100" s="31"/>
      <c r="B100" s="31"/>
      <c r="C100" s="31"/>
      <c r="D100" s="31"/>
      <c r="E100" s="31"/>
      <c r="F100" s="31"/>
      <c r="G100" s="31"/>
      <c r="H100" s="31"/>
    </row>
    <row r="101" spans="1:8" ht="12">
      <c r="A101" s="31"/>
      <c r="B101" s="31"/>
      <c r="C101" s="31"/>
      <c r="D101" s="31"/>
      <c r="E101" s="31"/>
      <c r="F101" s="31"/>
      <c r="G101" s="31"/>
      <c r="H101" s="31"/>
    </row>
    <row r="102" spans="1:8" ht="12">
      <c r="A102" s="31"/>
      <c r="B102" s="31"/>
      <c r="C102" s="31"/>
      <c r="D102" s="31"/>
      <c r="E102" s="31"/>
      <c r="F102" s="31"/>
      <c r="G102" s="31"/>
      <c r="H102" s="31"/>
    </row>
    <row r="103" spans="1:8" ht="12">
      <c r="A103" s="31"/>
      <c r="B103" s="31"/>
      <c r="C103" s="31"/>
      <c r="D103" s="31"/>
      <c r="E103" s="31"/>
      <c r="F103" s="31"/>
      <c r="G103" s="31"/>
      <c r="H103" s="31"/>
    </row>
    <row r="104" spans="1:8" ht="12">
      <c r="A104" s="31"/>
      <c r="B104" s="31"/>
      <c r="C104" s="31"/>
      <c r="D104" s="31"/>
      <c r="E104" s="31"/>
      <c r="F104" s="31"/>
      <c r="G104" s="31"/>
      <c r="H104" s="31"/>
    </row>
    <row r="105" spans="1:8" ht="12">
      <c r="A105" s="31"/>
      <c r="B105" s="31"/>
      <c r="C105" s="31"/>
      <c r="D105" s="31"/>
      <c r="E105" s="31"/>
      <c r="F105" s="31"/>
      <c r="G105" s="31"/>
      <c r="H105" s="31"/>
    </row>
    <row r="106" spans="1:8" ht="12">
      <c r="A106" s="31"/>
      <c r="B106" s="31"/>
      <c r="C106" s="31"/>
      <c r="D106" s="31"/>
      <c r="E106" s="31"/>
      <c r="F106" s="31"/>
      <c r="G106" s="31"/>
      <c r="H106" s="31"/>
    </row>
    <row r="107" spans="1:8" ht="12">
      <c r="A107" s="31"/>
      <c r="B107" s="31"/>
      <c r="C107" s="31"/>
      <c r="D107" s="31"/>
      <c r="E107" s="31"/>
      <c r="F107" s="31"/>
      <c r="G107" s="31"/>
      <c r="H107" s="31"/>
    </row>
    <row r="108" spans="1:8" ht="12">
      <c r="A108" s="31"/>
      <c r="B108" s="31"/>
      <c r="C108" s="31"/>
      <c r="D108" s="31"/>
      <c r="E108" s="31"/>
      <c r="F108" s="31"/>
      <c r="G108" s="31"/>
      <c r="H108" s="31"/>
    </row>
    <row r="109" spans="1:8" ht="12">
      <c r="A109" s="31"/>
      <c r="B109" s="31"/>
      <c r="C109" s="31"/>
      <c r="D109" s="31"/>
      <c r="E109" s="31"/>
      <c r="F109" s="31"/>
      <c r="G109" s="31"/>
      <c r="H109" s="31"/>
    </row>
    <row r="110" spans="1:8" ht="12">
      <c r="A110" s="31"/>
      <c r="B110" s="31"/>
      <c r="C110" s="31"/>
      <c r="D110" s="31"/>
      <c r="E110" s="31"/>
      <c r="F110" s="31"/>
      <c r="G110" s="31"/>
      <c r="H110" s="31"/>
    </row>
    <row r="111" spans="1:8" ht="12">
      <c r="A111" s="31"/>
      <c r="B111" s="31"/>
      <c r="C111" s="31"/>
      <c r="D111" s="31"/>
      <c r="E111" s="31"/>
      <c r="F111" s="31"/>
      <c r="G111" s="31"/>
      <c r="H111" s="31"/>
    </row>
    <row r="112" spans="1:8" ht="12">
      <c r="A112" s="31"/>
      <c r="B112" s="31"/>
      <c r="C112" s="31"/>
      <c r="D112" s="31"/>
      <c r="E112" s="31"/>
      <c r="F112" s="31"/>
      <c r="G112" s="31"/>
      <c r="H112" s="31"/>
    </row>
    <row r="113" spans="1:8" ht="12">
      <c r="A113" s="31"/>
      <c r="B113" s="31"/>
      <c r="C113" s="31"/>
      <c r="D113" s="31"/>
      <c r="E113" s="31"/>
      <c r="F113" s="31"/>
      <c r="G113" s="31"/>
      <c r="H113" s="31"/>
    </row>
    <row r="114" spans="1:8" ht="12">
      <c r="A114" s="31"/>
      <c r="B114" s="31"/>
      <c r="C114" s="31"/>
      <c r="D114" s="31"/>
      <c r="E114" s="31"/>
      <c r="F114" s="31"/>
      <c r="G114" s="31"/>
      <c r="H114" s="31"/>
    </row>
    <row r="115" spans="1:8" ht="12">
      <c r="A115" s="31"/>
      <c r="B115" s="31"/>
      <c r="C115" s="31"/>
      <c r="D115" s="31"/>
      <c r="E115" s="31"/>
      <c r="F115" s="31"/>
      <c r="G115" s="31"/>
      <c r="H115" s="31"/>
    </row>
    <row r="116" spans="1:8" ht="12">
      <c r="A116" s="31"/>
      <c r="B116" s="31"/>
      <c r="C116" s="31"/>
      <c r="D116" s="31"/>
      <c r="E116" s="31"/>
      <c r="F116" s="31"/>
      <c r="G116" s="31"/>
      <c r="H116" s="31"/>
    </row>
    <row r="117" spans="1:8" ht="12">
      <c r="A117" s="31"/>
      <c r="B117" s="31"/>
      <c r="C117" s="31"/>
      <c r="D117" s="31"/>
      <c r="E117" s="31"/>
      <c r="F117" s="31"/>
      <c r="G117" s="31"/>
      <c r="H117" s="31"/>
    </row>
    <row r="118" spans="1:8" ht="12">
      <c r="A118" s="31"/>
      <c r="B118" s="31"/>
      <c r="C118" s="31"/>
      <c r="D118" s="31"/>
      <c r="E118" s="31"/>
      <c r="F118" s="31"/>
      <c r="G118" s="31"/>
      <c r="H118" s="31"/>
    </row>
    <row r="119" spans="1:8" ht="12">
      <c r="A119" s="31"/>
      <c r="B119" s="31"/>
      <c r="C119" s="31"/>
      <c r="D119" s="31"/>
      <c r="E119" s="31"/>
      <c r="F119" s="31"/>
      <c r="G119" s="31"/>
      <c r="H119" s="31"/>
    </row>
    <row r="120" spans="1:8" ht="12">
      <c r="A120" s="31"/>
      <c r="B120" s="31"/>
      <c r="C120" s="31"/>
      <c r="D120" s="31"/>
      <c r="E120" s="31"/>
      <c r="F120" s="31"/>
      <c r="G120" s="31"/>
      <c r="H120" s="31"/>
    </row>
    <row r="121" spans="1:8" ht="12">
      <c r="A121" s="31"/>
      <c r="B121" s="31"/>
      <c r="C121" s="31"/>
      <c r="D121" s="31"/>
      <c r="E121" s="31"/>
      <c r="F121" s="31"/>
      <c r="G121" s="31"/>
      <c r="H121" s="31"/>
    </row>
    <row r="122" spans="1:8" ht="12">
      <c r="A122" s="31"/>
      <c r="B122" s="31"/>
      <c r="C122" s="31"/>
      <c r="D122" s="31"/>
      <c r="E122" s="31"/>
      <c r="F122" s="31"/>
      <c r="G122" s="31"/>
      <c r="H122" s="31"/>
    </row>
    <row r="123" spans="1:8" ht="12">
      <c r="A123" s="31"/>
      <c r="B123" s="31"/>
      <c r="C123" s="31"/>
      <c r="D123" s="31"/>
      <c r="E123" s="31"/>
      <c r="F123" s="31"/>
      <c r="G123" s="31"/>
      <c r="H123" s="31"/>
    </row>
    <row r="124" spans="1:8" ht="12">
      <c r="A124" s="31"/>
      <c r="B124" s="31"/>
      <c r="C124" s="31"/>
      <c r="D124" s="31"/>
      <c r="E124" s="31"/>
      <c r="F124" s="31"/>
      <c r="G124" s="31"/>
      <c r="H124" s="31"/>
    </row>
    <row r="125" spans="1:8" ht="12">
      <c r="A125" s="31"/>
      <c r="B125" s="31"/>
      <c r="C125" s="31"/>
      <c r="D125" s="31"/>
      <c r="E125" s="31"/>
      <c r="F125" s="31"/>
      <c r="G125" s="31"/>
      <c r="H125" s="31"/>
    </row>
    <row r="126" spans="1:8" ht="12">
      <c r="A126" s="31"/>
      <c r="B126" s="31"/>
      <c r="C126" s="31"/>
      <c r="D126" s="31"/>
      <c r="E126" s="31"/>
      <c r="F126" s="31"/>
      <c r="G126" s="31"/>
      <c r="H126" s="31"/>
    </row>
    <row r="127" spans="1:8" ht="12">
      <c r="A127" s="31"/>
      <c r="B127" s="31"/>
      <c r="C127" s="31"/>
      <c r="D127" s="31"/>
      <c r="E127" s="31"/>
      <c r="F127" s="31"/>
      <c r="G127" s="31"/>
      <c r="H127" s="31"/>
    </row>
    <row r="128" spans="1:8" ht="12">
      <c r="A128" s="31"/>
      <c r="B128" s="31"/>
      <c r="C128" s="31"/>
      <c r="D128" s="31"/>
      <c r="E128" s="31"/>
      <c r="F128" s="31"/>
      <c r="G128" s="31"/>
      <c r="H128" s="31"/>
    </row>
    <row r="129" spans="1:8" ht="12">
      <c r="A129" s="31"/>
      <c r="B129" s="31"/>
      <c r="C129" s="31"/>
      <c r="D129" s="31"/>
      <c r="E129" s="31"/>
      <c r="F129" s="31"/>
      <c r="G129" s="31"/>
      <c r="H129" s="31"/>
    </row>
    <row r="130" spans="1:8" ht="12">
      <c r="A130" s="31"/>
      <c r="B130" s="31"/>
      <c r="C130" s="31"/>
      <c r="D130" s="31"/>
      <c r="E130" s="31"/>
      <c r="F130" s="31"/>
      <c r="G130" s="31"/>
      <c r="H130" s="31"/>
    </row>
    <row r="131" spans="1:8" ht="12">
      <c r="A131" s="31"/>
      <c r="B131" s="31"/>
      <c r="C131" s="31"/>
      <c r="D131" s="31"/>
      <c r="E131" s="31"/>
      <c r="F131" s="31"/>
      <c r="G131" s="31"/>
      <c r="H131" s="31"/>
    </row>
    <row r="132" spans="1:8" ht="12">
      <c r="A132" s="31"/>
      <c r="B132" s="31"/>
      <c r="C132" s="31"/>
      <c r="D132" s="31"/>
      <c r="E132" s="31"/>
      <c r="F132" s="31"/>
      <c r="G132" s="31"/>
      <c r="H132" s="31"/>
    </row>
    <row r="133" spans="1:8" ht="12">
      <c r="A133" s="31"/>
      <c r="B133" s="31"/>
      <c r="C133" s="31"/>
      <c r="D133" s="31"/>
      <c r="E133" s="31"/>
      <c r="F133" s="31"/>
      <c r="G133" s="31"/>
      <c r="H133" s="31"/>
    </row>
    <row r="134" spans="1:8" ht="12">
      <c r="A134" s="31"/>
      <c r="B134" s="31"/>
      <c r="C134" s="31"/>
      <c r="D134" s="31"/>
      <c r="E134" s="31"/>
      <c r="F134" s="31"/>
      <c r="G134" s="31"/>
      <c r="H134" s="31"/>
    </row>
    <row r="135" spans="1:8" ht="12">
      <c r="A135" s="31"/>
      <c r="B135" s="31"/>
      <c r="C135" s="31"/>
      <c r="D135" s="31"/>
      <c r="E135" s="31"/>
      <c r="F135" s="31"/>
      <c r="G135" s="31"/>
      <c r="H135" s="31"/>
    </row>
    <row r="136" spans="1:8" ht="12">
      <c r="A136" s="31"/>
      <c r="B136" s="31"/>
      <c r="C136" s="31"/>
      <c r="D136" s="31"/>
      <c r="E136" s="31"/>
      <c r="F136" s="31"/>
      <c r="G136" s="31"/>
      <c r="H136" s="31"/>
    </row>
    <row r="137" spans="1:8" ht="12">
      <c r="A137" s="31"/>
      <c r="B137" s="31"/>
      <c r="C137" s="31"/>
      <c r="D137" s="31"/>
      <c r="E137" s="31"/>
      <c r="F137" s="31"/>
      <c r="G137" s="31"/>
      <c r="H137" s="31"/>
    </row>
    <row r="138" spans="1:8" ht="12">
      <c r="A138" s="31"/>
      <c r="B138" s="31"/>
      <c r="C138" s="31"/>
      <c r="D138" s="31"/>
      <c r="E138" s="31"/>
      <c r="F138" s="31"/>
      <c r="G138" s="31"/>
      <c r="H138" s="31"/>
    </row>
    <row r="139" spans="1:8" ht="12">
      <c r="A139" s="31"/>
      <c r="B139" s="31"/>
      <c r="C139" s="31"/>
      <c r="D139" s="31"/>
      <c r="E139" s="31"/>
      <c r="F139" s="31"/>
      <c r="G139" s="31"/>
      <c r="H139" s="31"/>
    </row>
    <row r="140" spans="1:8" ht="12">
      <c r="A140" s="31"/>
      <c r="B140" s="31"/>
      <c r="C140" s="31"/>
      <c r="D140" s="31"/>
      <c r="E140" s="31"/>
      <c r="F140" s="31"/>
      <c r="G140" s="31"/>
      <c r="H140" s="31"/>
    </row>
    <row r="141" spans="1:8" ht="12">
      <c r="A141" s="31"/>
      <c r="B141" s="31"/>
      <c r="C141" s="31"/>
      <c r="D141" s="31"/>
      <c r="E141" s="31"/>
      <c r="F141" s="31"/>
      <c r="G141" s="31"/>
      <c r="H141" s="31"/>
    </row>
    <row r="142" spans="1:8" ht="12">
      <c r="A142" s="31"/>
      <c r="B142" s="31"/>
      <c r="C142" s="31"/>
      <c r="D142" s="31"/>
      <c r="E142" s="31"/>
      <c r="F142" s="31"/>
      <c r="G142" s="31"/>
      <c r="H142" s="31"/>
    </row>
    <row r="143" spans="1:8" ht="12">
      <c r="A143" s="31"/>
      <c r="B143" s="31"/>
      <c r="C143" s="31"/>
      <c r="D143" s="31"/>
      <c r="E143" s="31"/>
      <c r="F143" s="31"/>
      <c r="G143" s="31"/>
      <c r="H143" s="31"/>
    </row>
    <row r="144" spans="1:8" ht="12">
      <c r="A144" s="31"/>
      <c r="B144" s="31"/>
      <c r="C144" s="31"/>
      <c r="D144" s="31"/>
      <c r="E144" s="31"/>
      <c r="F144" s="31"/>
      <c r="G144" s="31"/>
      <c r="H144" s="31"/>
    </row>
    <row r="145" spans="1:8" ht="12">
      <c r="A145" s="31"/>
      <c r="B145" s="31"/>
      <c r="C145" s="31"/>
      <c r="D145" s="31"/>
      <c r="E145" s="31"/>
      <c r="F145" s="31"/>
      <c r="G145" s="31"/>
      <c r="H145" s="31"/>
    </row>
    <row r="146" spans="1:8" ht="12">
      <c r="A146" s="31"/>
      <c r="B146" s="31"/>
      <c r="C146" s="31"/>
      <c r="D146" s="31"/>
      <c r="E146" s="31"/>
      <c r="F146" s="31"/>
      <c r="G146" s="31"/>
      <c r="H146" s="31"/>
    </row>
    <row r="147" spans="1:8" ht="12">
      <c r="A147" s="31"/>
      <c r="B147" s="31"/>
      <c r="C147" s="31"/>
      <c r="D147" s="31"/>
      <c r="E147" s="31"/>
      <c r="F147" s="31"/>
      <c r="G147" s="31"/>
      <c r="H147" s="31"/>
    </row>
    <row r="148" spans="1:8" ht="12">
      <c r="A148" s="31"/>
      <c r="B148" s="31"/>
      <c r="C148" s="31"/>
      <c r="D148" s="31"/>
      <c r="E148" s="31"/>
      <c r="F148" s="31"/>
      <c r="G148" s="31"/>
      <c r="H148" s="31"/>
    </row>
    <row r="149" spans="1:8" ht="12">
      <c r="A149" s="31"/>
      <c r="B149" s="31"/>
      <c r="C149" s="31"/>
      <c r="D149" s="31"/>
      <c r="E149" s="31"/>
      <c r="F149" s="31"/>
      <c r="G149" s="31"/>
      <c r="H149" s="31"/>
    </row>
    <row r="150" spans="1:8" ht="12">
      <c r="A150" s="31"/>
      <c r="B150" s="31"/>
      <c r="C150" s="31"/>
      <c r="D150" s="31"/>
      <c r="E150" s="31"/>
      <c r="F150" s="31"/>
      <c r="G150" s="31"/>
      <c r="H150" s="31"/>
    </row>
    <row r="151" spans="1:8" ht="12">
      <c r="A151" s="31"/>
      <c r="B151" s="31"/>
      <c r="C151" s="31"/>
      <c r="D151" s="31"/>
      <c r="E151" s="31"/>
      <c r="F151" s="31"/>
      <c r="G151" s="31"/>
      <c r="H151" s="31"/>
    </row>
    <row r="152" spans="1:8" ht="12">
      <c r="A152" s="31"/>
      <c r="B152" s="31"/>
      <c r="C152" s="31"/>
      <c r="D152" s="31"/>
      <c r="E152" s="31"/>
      <c r="F152" s="31"/>
      <c r="G152" s="31"/>
      <c r="H152" s="31"/>
    </row>
    <row r="153" spans="1:8" ht="12">
      <c r="A153" s="31"/>
      <c r="B153" s="31"/>
      <c r="C153" s="31"/>
      <c r="D153" s="31"/>
      <c r="E153" s="31"/>
      <c r="F153" s="31"/>
      <c r="G153" s="31"/>
      <c r="H153" s="31"/>
    </row>
    <row r="154" spans="1:8" ht="12">
      <c r="A154" s="31"/>
      <c r="B154" s="31"/>
      <c r="C154" s="31"/>
      <c r="D154" s="31"/>
      <c r="E154" s="31"/>
      <c r="F154" s="31"/>
      <c r="G154" s="31"/>
      <c r="H154" s="31"/>
    </row>
    <row r="155" spans="1:8" ht="12">
      <c r="A155" s="31"/>
      <c r="B155" s="31"/>
      <c r="C155" s="31"/>
      <c r="D155" s="31"/>
      <c r="E155" s="31"/>
      <c r="F155" s="31"/>
      <c r="G155" s="31"/>
      <c r="H155" s="31"/>
    </row>
    <row r="156" spans="1:8" ht="12">
      <c r="A156" s="31"/>
      <c r="B156" s="31"/>
      <c r="C156" s="31"/>
      <c r="D156" s="31"/>
      <c r="E156" s="31"/>
      <c r="F156" s="31"/>
      <c r="G156" s="31"/>
      <c r="H156" s="31"/>
    </row>
    <row r="157" spans="1:8" ht="12">
      <c r="A157" s="31"/>
      <c r="B157" s="31"/>
      <c r="C157" s="31"/>
      <c r="D157" s="31"/>
      <c r="E157" s="31"/>
      <c r="F157" s="31"/>
      <c r="G157" s="31"/>
      <c r="H157" s="31"/>
    </row>
    <row r="158" spans="1:8" ht="12">
      <c r="A158" s="31"/>
      <c r="B158" s="31"/>
      <c r="C158" s="31"/>
      <c r="D158" s="31"/>
      <c r="E158" s="31"/>
      <c r="F158" s="31"/>
      <c r="G158" s="31"/>
      <c r="H158" s="31"/>
    </row>
    <row r="159" spans="1:8" ht="12">
      <c r="A159" s="31"/>
      <c r="B159" s="31"/>
      <c r="C159" s="31"/>
      <c r="D159" s="31"/>
      <c r="E159" s="31"/>
      <c r="F159" s="31"/>
      <c r="G159" s="31"/>
      <c r="H159" s="31"/>
    </row>
    <row r="160" spans="1:8" ht="12">
      <c r="A160" s="31"/>
      <c r="B160" s="31"/>
      <c r="C160" s="31"/>
      <c r="D160" s="31"/>
      <c r="E160" s="31"/>
      <c r="F160" s="31"/>
      <c r="G160" s="31"/>
      <c r="H160" s="31"/>
    </row>
    <row r="161" spans="1:8" ht="12">
      <c r="A161" s="31"/>
      <c r="B161" s="31"/>
      <c r="C161" s="31"/>
      <c r="D161" s="31"/>
      <c r="E161" s="31"/>
      <c r="F161" s="31"/>
      <c r="G161" s="31"/>
      <c r="H161" s="31"/>
    </row>
    <row r="162" spans="1:8" ht="12">
      <c r="A162" s="31"/>
      <c r="B162" s="31"/>
      <c r="C162" s="31"/>
      <c r="D162" s="31"/>
      <c r="E162" s="31"/>
      <c r="F162" s="31"/>
      <c r="G162" s="31"/>
      <c r="H162" s="31"/>
    </row>
    <row r="163" spans="1:8" ht="12">
      <c r="A163" s="31"/>
      <c r="B163" s="31"/>
      <c r="C163" s="31"/>
      <c r="D163" s="31"/>
      <c r="E163" s="31"/>
      <c r="F163" s="31"/>
      <c r="G163" s="31"/>
      <c r="H163" s="31"/>
    </row>
    <row r="164" spans="1:8" ht="12">
      <c r="A164" s="31"/>
      <c r="B164" s="31"/>
      <c r="C164" s="31"/>
      <c r="D164" s="31"/>
      <c r="E164" s="31"/>
      <c r="F164" s="31"/>
      <c r="G164" s="31"/>
      <c r="H164" s="31"/>
    </row>
    <row r="165" spans="1:8" ht="12">
      <c r="A165" s="31"/>
      <c r="B165" s="31"/>
      <c r="C165" s="31"/>
      <c r="D165" s="31"/>
      <c r="E165" s="31"/>
      <c r="F165" s="31"/>
      <c r="G165" s="31"/>
      <c r="H165" s="31"/>
    </row>
    <row r="166" spans="1:8" ht="12">
      <c r="A166" s="31"/>
      <c r="B166" s="31"/>
      <c r="C166" s="31"/>
      <c r="D166" s="31"/>
      <c r="E166" s="31"/>
      <c r="F166" s="31"/>
      <c r="G166" s="31"/>
      <c r="H166" s="31"/>
    </row>
    <row r="167" spans="1:8" ht="12">
      <c r="A167" s="31"/>
      <c r="B167" s="31"/>
      <c r="C167" s="31"/>
      <c r="D167" s="31"/>
      <c r="E167" s="31"/>
      <c r="F167" s="31"/>
      <c r="G167" s="31"/>
      <c r="H167" s="31"/>
    </row>
    <row r="168" spans="1:8" ht="12">
      <c r="A168" s="31"/>
      <c r="B168" s="31"/>
      <c r="C168" s="31"/>
      <c r="D168" s="31"/>
      <c r="E168" s="31"/>
      <c r="F168" s="31"/>
      <c r="G168" s="31"/>
      <c r="H168" s="31"/>
    </row>
    <row r="169" spans="1:8" ht="12">
      <c r="A169" s="31"/>
      <c r="B169" s="31"/>
      <c r="C169" s="31"/>
      <c r="D169" s="31"/>
      <c r="E169" s="31"/>
      <c r="F169" s="31"/>
      <c r="G169" s="31"/>
      <c r="H169" s="31"/>
    </row>
    <row r="170" spans="1:8" ht="12">
      <c r="A170" s="31"/>
      <c r="B170" s="31"/>
      <c r="C170" s="31"/>
      <c r="D170" s="31"/>
      <c r="E170" s="31"/>
      <c r="F170" s="31"/>
      <c r="G170" s="31"/>
      <c r="H170" s="31"/>
    </row>
    <row r="171" spans="1:8" ht="12">
      <c r="A171" s="31"/>
      <c r="B171" s="31"/>
      <c r="C171" s="31"/>
      <c r="D171" s="31"/>
      <c r="E171" s="31"/>
      <c r="F171" s="31"/>
      <c r="G171" s="31"/>
      <c r="H171" s="31"/>
    </row>
    <row r="172" spans="1:8" ht="12">
      <c r="A172" s="31"/>
      <c r="B172" s="31"/>
      <c r="C172" s="31"/>
      <c r="D172" s="31"/>
      <c r="E172" s="31"/>
      <c r="F172" s="31"/>
      <c r="G172" s="31"/>
      <c r="H172" s="31"/>
    </row>
    <row r="173" spans="1:8" ht="12">
      <c r="A173" s="31"/>
      <c r="B173" s="31"/>
      <c r="C173" s="31"/>
      <c r="D173" s="31"/>
      <c r="E173" s="31"/>
      <c r="F173" s="31"/>
      <c r="G173" s="31"/>
      <c r="H173" s="31"/>
    </row>
    <row r="174" spans="1:8" ht="12">
      <c r="A174" s="31"/>
      <c r="B174" s="31"/>
      <c r="C174" s="31"/>
      <c r="D174" s="31"/>
      <c r="E174" s="31"/>
      <c r="F174" s="31"/>
      <c r="G174" s="31"/>
      <c r="H174" s="31"/>
    </row>
    <row r="175" spans="1:8" ht="12">
      <c r="A175" s="31"/>
      <c r="B175" s="31"/>
      <c r="C175" s="31"/>
      <c r="D175" s="31"/>
      <c r="E175" s="31"/>
      <c r="F175" s="31"/>
      <c r="G175" s="31"/>
      <c r="H175" s="31"/>
    </row>
    <row r="176" spans="1:8" ht="12">
      <c r="A176" s="31"/>
      <c r="B176" s="31"/>
      <c r="C176" s="31"/>
      <c r="D176" s="31"/>
      <c r="E176" s="31"/>
      <c r="F176" s="31"/>
      <c r="G176" s="31"/>
      <c r="H176" s="31"/>
    </row>
    <row r="177" spans="1:8" ht="12">
      <c r="A177" s="31"/>
      <c r="B177" s="31"/>
      <c r="C177" s="31"/>
      <c r="D177" s="31"/>
      <c r="E177" s="31"/>
      <c r="F177" s="31"/>
      <c r="G177" s="31"/>
      <c r="H177" s="31"/>
    </row>
    <row r="178" spans="1:8" ht="12">
      <c r="A178" s="31"/>
      <c r="B178" s="31"/>
      <c r="C178" s="31"/>
      <c r="D178" s="31"/>
      <c r="E178" s="31"/>
      <c r="F178" s="31"/>
      <c r="G178" s="31"/>
      <c r="H178" s="31"/>
    </row>
    <row r="179" spans="1:8" ht="12">
      <c r="A179" s="31"/>
      <c r="B179" s="31"/>
      <c r="C179" s="31"/>
      <c r="D179" s="31"/>
      <c r="E179" s="31"/>
      <c r="F179" s="31"/>
      <c r="G179" s="31"/>
      <c r="H179" s="31"/>
    </row>
    <row r="180" spans="1:8" ht="12">
      <c r="A180" s="31"/>
      <c r="B180" s="31"/>
      <c r="C180" s="31"/>
      <c r="D180" s="31"/>
      <c r="E180" s="31"/>
      <c r="F180" s="31"/>
      <c r="G180" s="31"/>
      <c r="H180" s="31"/>
    </row>
    <row r="181" spans="1:8" ht="12">
      <c r="A181" s="31"/>
      <c r="B181" s="31"/>
      <c r="C181" s="31"/>
      <c r="D181" s="31"/>
      <c r="E181" s="31"/>
      <c r="F181" s="31"/>
      <c r="G181" s="31"/>
      <c r="H181" s="31"/>
    </row>
    <row r="182" spans="1:8" ht="12">
      <c r="A182" s="31"/>
      <c r="B182" s="31"/>
      <c r="C182" s="31"/>
      <c r="D182" s="31"/>
      <c r="E182" s="31"/>
      <c r="F182" s="31"/>
      <c r="G182" s="31"/>
      <c r="H182" s="31"/>
    </row>
    <row r="183" spans="1:8" ht="12">
      <c r="A183" s="31"/>
      <c r="B183" s="31"/>
      <c r="C183" s="31"/>
      <c r="D183" s="31"/>
      <c r="E183" s="31"/>
      <c r="F183" s="31"/>
      <c r="G183" s="31"/>
      <c r="H183" s="31"/>
    </row>
    <row r="184" spans="1:8" ht="12">
      <c r="A184" s="31"/>
      <c r="B184" s="31"/>
      <c r="C184" s="31"/>
      <c r="D184" s="31"/>
      <c r="E184" s="31"/>
      <c r="F184" s="31"/>
      <c r="G184" s="31"/>
      <c r="H184" s="31"/>
    </row>
    <row r="185" spans="1:8" ht="12">
      <c r="A185" s="31"/>
      <c r="B185" s="31"/>
      <c r="C185" s="31"/>
      <c r="D185" s="31"/>
      <c r="E185" s="31"/>
      <c r="F185" s="31"/>
      <c r="G185" s="31"/>
      <c r="H185" s="31"/>
    </row>
    <row r="186" spans="1:8" ht="12">
      <c r="A186" s="31"/>
      <c r="B186" s="31"/>
      <c r="C186" s="31"/>
      <c r="D186" s="31"/>
      <c r="E186" s="31"/>
      <c r="F186" s="31"/>
      <c r="G186" s="31"/>
      <c r="H186" s="31"/>
    </row>
    <row r="187" spans="1:8" ht="12">
      <c r="A187" s="31"/>
      <c r="B187" s="31"/>
      <c r="C187" s="31"/>
      <c r="D187" s="31"/>
      <c r="E187" s="31"/>
      <c r="F187" s="31"/>
      <c r="G187" s="31"/>
      <c r="H187" s="31"/>
    </row>
    <row r="188" spans="1:8" ht="12">
      <c r="A188" s="31"/>
      <c r="B188" s="31"/>
      <c r="C188" s="31"/>
      <c r="D188" s="31"/>
      <c r="E188" s="31"/>
      <c r="F188" s="31"/>
      <c r="G188" s="31"/>
      <c r="H188" s="31"/>
    </row>
    <row r="189" spans="1:8" ht="12">
      <c r="A189" s="31"/>
      <c r="B189" s="31"/>
      <c r="C189" s="31"/>
      <c r="D189" s="31"/>
      <c r="E189" s="31"/>
      <c r="F189" s="31"/>
      <c r="G189" s="31"/>
      <c r="H189" s="31"/>
    </row>
    <row r="190" spans="1:8" ht="12">
      <c r="A190" s="31"/>
      <c r="B190" s="31"/>
      <c r="C190" s="31"/>
      <c r="D190" s="31"/>
      <c r="E190" s="31"/>
      <c r="F190" s="31"/>
      <c r="G190" s="31"/>
      <c r="H190" s="31"/>
    </row>
    <row r="191" spans="1:8" ht="12">
      <c r="A191" s="31"/>
      <c r="B191" s="31"/>
      <c r="C191" s="31"/>
      <c r="D191" s="31"/>
      <c r="E191" s="31"/>
      <c r="F191" s="31"/>
      <c r="G191" s="31"/>
      <c r="H191" s="31"/>
    </row>
    <row r="192" spans="1:8" ht="12">
      <c r="A192" s="31"/>
      <c r="B192" s="31"/>
      <c r="C192" s="31"/>
      <c r="D192" s="31"/>
      <c r="E192" s="31"/>
      <c r="F192" s="31"/>
      <c r="G192" s="31"/>
      <c r="H192" s="31"/>
    </row>
    <row r="193" spans="1:8" ht="12">
      <c r="A193" s="31"/>
      <c r="B193" s="31"/>
      <c r="C193" s="31"/>
      <c r="D193" s="31"/>
      <c r="E193" s="31"/>
      <c r="F193" s="31"/>
      <c r="G193" s="31"/>
      <c r="H193" s="31"/>
    </row>
    <row r="194" spans="1:8" ht="12">
      <c r="A194" s="31"/>
      <c r="B194" s="31"/>
      <c r="C194" s="31"/>
      <c r="D194" s="31"/>
      <c r="E194" s="31"/>
      <c r="F194" s="31"/>
      <c r="G194" s="31"/>
      <c r="H194" s="31"/>
    </row>
    <row r="195" spans="1:8" ht="12">
      <c r="A195" s="31"/>
      <c r="B195" s="31"/>
      <c r="C195" s="31"/>
      <c r="D195" s="31"/>
      <c r="E195" s="31"/>
      <c r="F195" s="31"/>
      <c r="G195" s="31"/>
      <c r="H195" s="31"/>
    </row>
    <row r="196" spans="1:8" ht="12">
      <c r="A196" s="31"/>
      <c r="B196" s="31"/>
      <c r="C196" s="31"/>
      <c r="D196" s="31"/>
      <c r="E196" s="31"/>
      <c r="F196" s="31"/>
      <c r="G196" s="31"/>
      <c r="H196" s="31"/>
    </row>
    <row r="197" spans="1:8" ht="12">
      <c r="A197" s="31"/>
      <c r="B197" s="31"/>
      <c r="C197" s="31"/>
      <c r="D197" s="31"/>
      <c r="E197" s="31"/>
      <c r="F197" s="31"/>
      <c r="G197" s="31"/>
      <c r="H197" s="31"/>
    </row>
    <row r="198" spans="1:8" ht="12">
      <c r="A198" s="31"/>
      <c r="B198" s="31"/>
      <c r="C198" s="31"/>
      <c r="D198" s="31"/>
      <c r="E198" s="31"/>
      <c r="F198" s="31"/>
      <c r="G198" s="31"/>
      <c r="H198" s="31"/>
    </row>
    <row r="199" spans="1:8" ht="12">
      <c r="A199" s="31"/>
      <c r="B199" s="31"/>
      <c r="C199" s="31"/>
      <c r="D199" s="31"/>
      <c r="E199" s="31"/>
      <c r="F199" s="31"/>
      <c r="G199" s="31"/>
      <c r="H199" s="31"/>
    </row>
    <row r="200" spans="1:8" ht="12">
      <c r="A200" s="31"/>
      <c r="B200" s="31"/>
      <c r="C200" s="31"/>
      <c r="D200" s="31"/>
      <c r="E200" s="31"/>
      <c r="F200" s="31"/>
      <c r="G200" s="31"/>
      <c r="H200" s="31"/>
    </row>
    <row r="201" spans="1:8" ht="12">
      <c r="A201" s="31"/>
      <c r="B201" s="31"/>
      <c r="C201" s="31"/>
      <c r="D201" s="31"/>
      <c r="E201" s="31"/>
      <c r="F201" s="31"/>
      <c r="G201" s="31"/>
      <c r="H201" s="31"/>
    </row>
    <row r="202" spans="1:8" ht="12">
      <c r="A202" s="31"/>
      <c r="B202" s="31"/>
      <c r="C202" s="31"/>
      <c r="D202" s="31"/>
      <c r="E202" s="31"/>
      <c r="F202" s="31"/>
      <c r="G202" s="31"/>
      <c r="H202" s="31"/>
    </row>
    <row r="203" spans="1:8" ht="12">
      <c r="A203" s="31"/>
      <c r="B203" s="31"/>
      <c r="C203" s="31"/>
      <c r="D203" s="31"/>
      <c r="E203" s="31"/>
      <c r="F203" s="31"/>
      <c r="G203" s="31"/>
      <c r="H203" s="31"/>
    </row>
    <row r="204" spans="1:8" ht="12">
      <c r="A204" s="31"/>
      <c r="B204" s="31"/>
      <c r="C204" s="31"/>
      <c r="D204" s="31"/>
      <c r="E204" s="31"/>
      <c r="F204" s="31"/>
      <c r="G204" s="31"/>
      <c r="H204" s="31"/>
    </row>
    <row r="205" spans="1:8" ht="12">
      <c r="A205" s="31"/>
      <c r="B205" s="31"/>
      <c r="C205" s="31"/>
      <c r="D205" s="31"/>
      <c r="E205" s="31"/>
      <c r="F205" s="31"/>
      <c r="G205" s="31"/>
      <c r="H205" s="31"/>
    </row>
    <row r="206" spans="1:8" ht="12">
      <c r="A206" s="31"/>
      <c r="B206" s="31"/>
      <c r="C206" s="31"/>
      <c r="D206" s="31"/>
      <c r="E206" s="31"/>
      <c r="F206" s="31"/>
      <c r="G206" s="31"/>
      <c r="H206" s="31"/>
    </row>
    <row r="207" spans="1:8" ht="12">
      <c r="A207" s="31"/>
      <c r="B207" s="31"/>
      <c r="C207" s="31"/>
      <c r="D207" s="31"/>
      <c r="E207" s="31"/>
      <c r="F207" s="31"/>
      <c r="G207" s="31"/>
      <c r="H207" s="31"/>
    </row>
    <row r="208" spans="1:8" ht="12">
      <c r="A208" s="31"/>
      <c r="B208" s="31"/>
      <c r="C208" s="31"/>
      <c r="D208" s="31"/>
      <c r="E208" s="31"/>
      <c r="F208" s="31"/>
      <c r="G208" s="31"/>
      <c r="H208" s="31"/>
    </row>
    <row r="209" spans="1:8" ht="12">
      <c r="A209" s="31"/>
      <c r="B209" s="31"/>
      <c r="C209" s="31"/>
      <c r="D209" s="31"/>
      <c r="E209" s="31"/>
      <c r="F209" s="31"/>
      <c r="G209" s="31"/>
      <c r="H209" s="31"/>
    </row>
    <row r="210" spans="1:8" ht="12">
      <c r="A210" s="31"/>
      <c r="B210" s="31"/>
      <c r="C210" s="31"/>
      <c r="D210" s="31"/>
      <c r="E210" s="31"/>
      <c r="F210" s="31"/>
      <c r="G210" s="31"/>
      <c r="H210" s="31"/>
    </row>
    <row r="211" spans="1:8" ht="12">
      <c r="A211" s="31"/>
      <c r="B211" s="31"/>
      <c r="C211" s="31"/>
      <c r="D211" s="31"/>
      <c r="E211" s="31"/>
      <c r="F211" s="31"/>
      <c r="G211" s="31"/>
      <c r="H211" s="31"/>
    </row>
    <row r="212" spans="1:8" ht="12">
      <c r="A212" s="31"/>
      <c r="B212" s="31"/>
      <c r="C212" s="31"/>
      <c r="D212" s="31"/>
      <c r="E212" s="31"/>
      <c r="F212" s="31"/>
      <c r="G212" s="31"/>
      <c r="H212" s="31"/>
    </row>
    <row r="213" spans="1:8" ht="12">
      <c r="A213" s="31"/>
      <c r="B213" s="31"/>
      <c r="C213" s="31"/>
      <c r="D213" s="31"/>
      <c r="E213" s="31"/>
      <c r="F213" s="31"/>
      <c r="G213" s="31"/>
      <c r="H213" s="31"/>
    </row>
    <row r="214" spans="1:8" ht="12">
      <c r="A214" s="31"/>
      <c r="B214" s="31"/>
      <c r="C214" s="31"/>
      <c r="D214" s="31"/>
      <c r="E214" s="31"/>
      <c r="F214" s="31"/>
      <c r="G214" s="31"/>
      <c r="H214" s="31"/>
    </row>
    <row r="215" spans="1:8" ht="12">
      <c r="A215" s="31"/>
      <c r="B215" s="31"/>
      <c r="C215" s="31"/>
      <c r="D215" s="31"/>
      <c r="E215" s="31"/>
      <c r="F215" s="31"/>
      <c r="G215" s="31"/>
      <c r="H215" s="31"/>
    </row>
    <row r="216" spans="1:8" ht="12">
      <c r="A216" s="31"/>
      <c r="B216" s="31"/>
      <c r="C216" s="31"/>
      <c r="D216" s="31"/>
      <c r="E216" s="31"/>
      <c r="F216" s="31"/>
      <c r="G216" s="31"/>
      <c r="H216" s="31"/>
    </row>
    <row r="217" spans="1:8" ht="12">
      <c r="A217" s="31"/>
      <c r="B217" s="31"/>
      <c r="C217" s="31"/>
      <c r="D217" s="31"/>
      <c r="E217" s="31"/>
      <c r="F217" s="31"/>
      <c r="G217" s="31"/>
      <c r="H217" s="31"/>
    </row>
    <row r="218" spans="1:8" ht="12">
      <c r="A218" s="31"/>
      <c r="B218" s="31"/>
      <c r="C218" s="31"/>
      <c r="D218" s="31"/>
      <c r="E218" s="31"/>
      <c r="F218" s="31"/>
      <c r="G218" s="31"/>
      <c r="H218" s="31"/>
    </row>
    <row r="219" spans="1:8" ht="12">
      <c r="A219" s="31"/>
      <c r="B219" s="31"/>
      <c r="C219" s="31"/>
      <c r="D219" s="31"/>
      <c r="E219" s="31"/>
      <c r="F219" s="31"/>
      <c r="G219" s="31"/>
      <c r="H219" s="31"/>
    </row>
    <row r="220" spans="1:8" ht="12">
      <c r="A220" s="31"/>
      <c r="B220" s="31"/>
      <c r="C220" s="31"/>
      <c r="D220" s="31"/>
      <c r="E220" s="31"/>
      <c r="F220" s="31"/>
      <c r="G220" s="31"/>
      <c r="H220" s="31"/>
    </row>
    <row r="221" spans="1:8" ht="12">
      <c r="A221" s="31"/>
      <c r="B221" s="31"/>
      <c r="C221" s="31"/>
      <c r="D221" s="31"/>
      <c r="E221" s="31"/>
      <c r="F221" s="31"/>
      <c r="G221" s="31"/>
      <c r="H221" s="31"/>
    </row>
    <row r="222" spans="1:8" ht="12">
      <c r="A222" s="31"/>
      <c r="B222" s="31"/>
      <c r="C222" s="31"/>
      <c r="D222" s="31"/>
      <c r="E222" s="31"/>
      <c r="F222" s="31"/>
      <c r="G222" s="31"/>
      <c r="H222" s="31"/>
    </row>
    <row r="223" spans="1:8" ht="12">
      <c r="A223" s="31"/>
      <c r="B223" s="31"/>
      <c r="C223" s="31"/>
      <c r="D223" s="31"/>
      <c r="E223" s="31"/>
      <c r="F223" s="31"/>
      <c r="G223" s="31"/>
      <c r="H223" s="31"/>
    </row>
    <row r="224" spans="1:8" ht="12">
      <c r="A224" s="31"/>
      <c r="B224" s="31"/>
      <c r="C224" s="31"/>
      <c r="D224" s="31"/>
      <c r="E224" s="31"/>
      <c r="F224" s="31"/>
      <c r="G224" s="31"/>
      <c r="H224" s="31"/>
    </row>
    <row r="225" spans="1:8" ht="12">
      <c r="A225" s="31"/>
      <c r="B225" s="31"/>
      <c r="C225" s="31"/>
      <c r="D225" s="31"/>
      <c r="E225" s="31"/>
      <c r="F225" s="31"/>
      <c r="G225" s="31"/>
      <c r="H225" s="31"/>
    </row>
    <row r="226" spans="1:8" ht="12">
      <c r="A226" s="31"/>
      <c r="B226" s="31"/>
      <c r="C226" s="31"/>
      <c r="D226" s="31"/>
      <c r="E226" s="31"/>
      <c r="F226" s="31"/>
      <c r="G226" s="31"/>
      <c r="H226" s="31"/>
    </row>
    <row r="227" spans="1:8" ht="12">
      <c r="A227" s="31"/>
      <c r="B227" s="31"/>
      <c r="C227" s="31"/>
      <c r="D227" s="31"/>
      <c r="E227" s="31"/>
      <c r="F227" s="31"/>
      <c r="G227" s="31"/>
      <c r="H227" s="31"/>
    </row>
    <row r="228" spans="1:8" ht="12">
      <c r="A228" s="31"/>
      <c r="B228" s="31"/>
      <c r="C228" s="31"/>
      <c r="D228" s="31"/>
      <c r="E228" s="31"/>
      <c r="F228" s="31"/>
      <c r="G228" s="31"/>
      <c r="H228" s="31"/>
    </row>
    <row r="229" spans="1:8" ht="12">
      <c r="A229" s="31"/>
      <c r="B229" s="31"/>
      <c r="C229" s="31"/>
      <c r="D229" s="31"/>
      <c r="E229" s="31"/>
      <c r="F229" s="31"/>
      <c r="G229" s="31"/>
      <c r="H229" s="31"/>
    </row>
    <row r="230" spans="1:8" ht="12">
      <c r="A230" s="31"/>
      <c r="B230" s="31"/>
      <c r="C230" s="31"/>
      <c r="D230" s="31"/>
      <c r="E230" s="31"/>
      <c r="F230" s="31"/>
      <c r="G230" s="31"/>
      <c r="H230" s="31"/>
    </row>
    <row r="231" spans="1:8" ht="12">
      <c r="A231" s="31"/>
      <c r="B231" s="31"/>
      <c r="C231" s="31"/>
      <c r="D231" s="31"/>
      <c r="E231" s="31"/>
      <c r="F231" s="31"/>
      <c r="G231" s="31"/>
      <c r="H231" s="31"/>
    </row>
    <row r="232" spans="1:8" ht="12">
      <c r="A232" s="31"/>
      <c r="B232" s="31"/>
      <c r="C232" s="31"/>
      <c r="D232" s="31"/>
      <c r="E232" s="31"/>
      <c r="F232" s="31"/>
      <c r="G232" s="31"/>
      <c r="H232" s="31"/>
    </row>
    <row r="233" spans="1:8" ht="12">
      <c r="A233" s="31"/>
      <c r="B233" s="31"/>
      <c r="C233" s="31"/>
      <c r="D233" s="31"/>
      <c r="E233" s="31"/>
      <c r="F233" s="31"/>
      <c r="G233" s="31"/>
      <c r="H233" s="31"/>
    </row>
    <row r="234" spans="1:8" ht="12">
      <c r="A234" s="31"/>
      <c r="B234" s="31"/>
      <c r="C234" s="31"/>
      <c r="D234" s="31"/>
      <c r="E234" s="31"/>
      <c r="F234" s="31"/>
      <c r="G234" s="31"/>
      <c r="H234" s="31"/>
    </row>
    <row r="235" spans="1:8" ht="12">
      <c r="A235" s="31"/>
      <c r="B235" s="31"/>
      <c r="C235" s="31"/>
      <c r="D235" s="31"/>
      <c r="E235" s="31"/>
      <c r="F235" s="31"/>
      <c r="G235" s="31"/>
      <c r="H235" s="31"/>
    </row>
    <row r="236" spans="1:8" ht="12">
      <c r="A236" s="31"/>
      <c r="B236" s="31"/>
      <c r="C236" s="31"/>
      <c r="D236" s="31"/>
      <c r="E236" s="31"/>
      <c r="F236" s="31"/>
      <c r="G236" s="31"/>
      <c r="H236" s="31"/>
    </row>
    <row r="237" spans="1:8" ht="12">
      <c r="A237" s="31"/>
      <c r="B237" s="31"/>
      <c r="C237" s="31"/>
      <c r="D237" s="31"/>
      <c r="E237" s="31"/>
      <c r="F237" s="31"/>
      <c r="G237" s="31"/>
      <c r="H237" s="31"/>
    </row>
    <row r="238" spans="1:8" ht="12">
      <c r="A238" s="31"/>
      <c r="B238" s="31"/>
      <c r="C238" s="31"/>
      <c r="D238" s="31"/>
      <c r="E238" s="31"/>
      <c r="F238" s="31"/>
      <c r="G238" s="31"/>
      <c r="H238" s="31"/>
    </row>
    <row r="239" spans="1:8" ht="12">
      <c r="A239" s="31"/>
      <c r="B239" s="31"/>
      <c r="C239" s="31"/>
      <c r="D239" s="31"/>
      <c r="E239" s="31"/>
      <c r="F239" s="31"/>
      <c r="G239" s="31"/>
      <c r="H239" s="31"/>
    </row>
    <row r="240" spans="1:8" ht="12">
      <c r="A240" s="31"/>
      <c r="B240" s="31"/>
      <c r="C240" s="31"/>
      <c r="D240" s="31"/>
      <c r="E240" s="31"/>
      <c r="F240" s="31"/>
      <c r="G240" s="31"/>
      <c r="H240" s="31"/>
    </row>
    <row r="241" spans="1:8" ht="12">
      <c r="A241" s="31"/>
      <c r="B241" s="31"/>
      <c r="C241" s="31"/>
      <c r="D241" s="31"/>
      <c r="E241" s="31"/>
      <c r="F241" s="31"/>
      <c r="G241" s="31"/>
      <c r="H241" s="31"/>
    </row>
    <row r="242" spans="1:8" ht="12">
      <c r="A242" s="31"/>
      <c r="B242" s="31"/>
      <c r="C242" s="31"/>
      <c r="D242" s="31"/>
      <c r="E242" s="31"/>
      <c r="F242" s="31"/>
      <c r="G242" s="31"/>
      <c r="H242" s="31"/>
    </row>
    <row r="243" spans="1:8" ht="12">
      <c r="A243" s="31"/>
      <c r="B243" s="31"/>
      <c r="C243" s="31"/>
      <c r="D243" s="31"/>
      <c r="E243" s="31"/>
      <c r="F243" s="31"/>
      <c r="G243" s="31"/>
      <c r="H243" s="31"/>
    </row>
    <row r="244" spans="1:8" ht="12">
      <c r="A244" s="31"/>
      <c r="B244" s="31"/>
      <c r="C244" s="31"/>
      <c r="D244" s="31"/>
      <c r="E244" s="31"/>
      <c r="F244" s="31"/>
      <c r="G244" s="31"/>
      <c r="H244" s="31"/>
    </row>
    <row r="245" spans="1:8" ht="12">
      <c r="A245" s="31"/>
      <c r="B245" s="31"/>
      <c r="C245" s="31"/>
      <c r="D245" s="31"/>
      <c r="E245" s="31"/>
      <c r="F245" s="31"/>
      <c r="G245" s="31"/>
      <c r="H245" s="31"/>
    </row>
    <row r="246" spans="1:8" ht="12">
      <c r="A246" s="31"/>
      <c r="B246" s="31"/>
      <c r="C246" s="31"/>
      <c r="D246" s="31"/>
      <c r="E246" s="31"/>
      <c r="F246" s="31"/>
      <c r="G246" s="31"/>
      <c r="H246" s="31"/>
    </row>
    <row r="247" spans="1:8" ht="12">
      <c r="A247" s="31"/>
      <c r="B247" s="31"/>
      <c r="C247" s="31"/>
      <c r="D247" s="31"/>
      <c r="E247" s="31"/>
      <c r="F247" s="31"/>
      <c r="G247" s="31"/>
      <c r="H247" s="31"/>
    </row>
    <row r="248" spans="1:8" ht="12">
      <c r="A248" s="31"/>
      <c r="B248" s="31"/>
      <c r="C248" s="31"/>
      <c r="D248" s="31"/>
      <c r="E248" s="31"/>
      <c r="F248" s="31"/>
      <c r="G248" s="31"/>
      <c r="H248" s="31"/>
    </row>
    <row r="249" spans="1:8" ht="12">
      <c r="A249" s="31"/>
      <c r="B249" s="31"/>
      <c r="C249" s="31"/>
      <c r="D249" s="31"/>
      <c r="E249" s="31"/>
      <c r="F249" s="31"/>
      <c r="G249" s="31"/>
      <c r="H249" s="31"/>
    </row>
    <row r="250" spans="1:8" ht="12">
      <c r="A250" s="31"/>
      <c r="B250" s="31"/>
      <c r="C250" s="31"/>
      <c r="D250" s="31"/>
      <c r="E250" s="31"/>
      <c r="F250" s="31"/>
      <c r="G250" s="31"/>
      <c r="H250" s="31"/>
    </row>
    <row r="251" spans="1:8" ht="12">
      <c r="A251" s="31"/>
      <c r="B251" s="31"/>
      <c r="C251" s="31"/>
      <c r="D251" s="31"/>
      <c r="E251" s="31"/>
      <c r="F251" s="31"/>
      <c r="G251" s="31"/>
      <c r="H251" s="31"/>
    </row>
    <row r="252" spans="1:8" ht="12">
      <c r="A252" s="31"/>
      <c r="B252" s="31"/>
      <c r="C252" s="31"/>
      <c r="D252" s="31"/>
      <c r="E252" s="31"/>
      <c r="F252" s="31"/>
      <c r="G252" s="31"/>
      <c r="H252" s="31"/>
    </row>
    <row r="253" spans="1:8" ht="12">
      <c r="A253" s="31"/>
      <c r="B253" s="31"/>
      <c r="C253" s="31"/>
      <c r="D253" s="31"/>
      <c r="E253" s="31"/>
      <c r="F253" s="31"/>
      <c r="G253" s="31"/>
      <c r="H253" s="31"/>
    </row>
    <row r="254" spans="1:8" ht="12">
      <c r="A254" s="31"/>
      <c r="B254" s="31"/>
      <c r="C254" s="31"/>
      <c r="D254" s="31"/>
      <c r="E254" s="31"/>
      <c r="F254" s="31"/>
      <c r="G254" s="31"/>
      <c r="H254" s="31"/>
    </row>
    <row r="255" spans="1:8" ht="12">
      <c r="A255" s="31"/>
      <c r="B255" s="31"/>
      <c r="C255" s="31"/>
      <c r="D255" s="31"/>
      <c r="E255" s="31"/>
      <c r="F255" s="31"/>
      <c r="G255" s="31"/>
      <c r="H255" s="31"/>
    </row>
    <row r="256" spans="1:8" ht="12">
      <c r="A256" s="31"/>
      <c r="B256" s="31"/>
      <c r="C256" s="31"/>
      <c r="D256" s="31"/>
      <c r="E256" s="31"/>
      <c r="F256" s="31"/>
      <c r="G256" s="31"/>
      <c r="H256" s="31"/>
    </row>
    <row r="257" spans="1:8" ht="12">
      <c r="A257" s="31"/>
      <c r="B257" s="31"/>
      <c r="C257" s="31"/>
      <c r="D257" s="31"/>
      <c r="E257" s="31"/>
      <c r="F257" s="31"/>
      <c r="G257" s="31"/>
      <c r="H257" s="31"/>
    </row>
    <row r="258" spans="1:8" ht="12">
      <c r="A258" s="31"/>
      <c r="B258" s="31"/>
      <c r="C258" s="31"/>
      <c r="D258" s="31"/>
      <c r="E258" s="31"/>
      <c r="F258" s="31"/>
      <c r="G258" s="31"/>
      <c r="H258" s="31"/>
    </row>
    <row r="259" spans="1:8" ht="12">
      <c r="A259" s="31"/>
      <c r="B259" s="31"/>
      <c r="C259" s="31"/>
      <c r="D259" s="31"/>
      <c r="E259" s="31"/>
      <c r="F259" s="31"/>
      <c r="G259" s="31"/>
      <c r="H259" s="31"/>
    </row>
    <row r="260" spans="1:8" ht="12">
      <c r="A260" s="31"/>
      <c r="B260" s="31"/>
      <c r="C260" s="31"/>
      <c r="D260" s="31"/>
      <c r="E260" s="31"/>
      <c r="F260" s="31"/>
      <c r="G260" s="31"/>
      <c r="H260" s="31"/>
    </row>
    <row r="261" spans="1:8" ht="12">
      <c r="A261" s="31"/>
      <c r="B261" s="31"/>
      <c r="C261" s="31"/>
      <c r="D261" s="31"/>
      <c r="E261" s="31"/>
      <c r="F261" s="31"/>
      <c r="G261" s="31"/>
      <c r="H261" s="31"/>
    </row>
    <row r="262" spans="1:8" ht="12">
      <c r="A262" s="31"/>
      <c r="B262" s="31"/>
      <c r="C262" s="31"/>
      <c r="D262" s="31"/>
      <c r="E262" s="31"/>
      <c r="F262" s="31"/>
      <c r="G262" s="31"/>
      <c r="H262" s="31"/>
    </row>
    <row r="263" spans="1:8" ht="12">
      <c r="A263" s="31"/>
      <c r="B263" s="31"/>
      <c r="C263" s="31"/>
      <c r="D263" s="31"/>
      <c r="E263" s="31"/>
      <c r="F263" s="31"/>
      <c r="G263" s="31"/>
      <c r="H263" s="31"/>
    </row>
    <row r="264" spans="1:8" ht="12">
      <c r="A264" s="31"/>
      <c r="B264" s="31"/>
      <c r="C264" s="31"/>
      <c r="D264" s="31"/>
      <c r="E264" s="31"/>
      <c r="F264" s="31"/>
      <c r="G264" s="31"/>
      <c r="H264" s="31"/>
    </row>
    <row r="265" spans="1:8" ht="12">
      <c r="A265" s="31"/>
      <c r="B265" s="31"/>
      <c r="C265" s="31"/>
      <c r="D265" s="31"/>
      <c r="E265" s="31"/>
      <c r="F265" s="31"/>
      <c r="G265" s="31"/>
      <c r="H265" s="31"/>
    </row>
    <row r="266" spans="1:8" ht="12">
      <c r="A266" s="31"/>
      <c r="B266" s="31"/>
      <c r="C266" s="31"/>
      <c r="D266" s="31"/>
      <c r="E266" s="31"/>
      <c r="F266" s="31"/>
      <c r="G266" s="31"/>
      <c r="H266" s="31"/>
    </row>
    <row r="267" spans="1:8" ht="12">
      <c r="A267" s="31"/>
      <c r="B267" s="31"/>
      <c r="C267" s="31"/>
      <c r="D267" s="31"/>
      <c r="E267" s="31"/>
      <c r="F267" s="31"/>
      <c r="G267" s="31"/>
      <c r="H267" s="31"/>
    </row>
    <row r="268" spans="1:8" ht="12">
      <c r="A268" s="31"/>
      <c r="B268" s="31"/>
      <c r="C268" s="31"/>
      <c r="D268" s="31"/>
      <c r="E268" s="31"/>
      <c r="F268" s="31"/>
      <c r="G268" s="31"/>
      <c r="H268" s="31"/>
    </row>
    <row r="269" spans="1:8" ht="12">
      <c r="A269" s="31"/>
      <c r="B269" s="31"/>
      <c r="C269" s="31"/>
      <c r="D269" s="31"/>
      <c r="E269" s="31"/>
      <c r="F269" s="31"/>
      <c r="G269" s="31"/>
      <c r="H269" s="31"/>
    </row>
    <row r="270" spans="1:8" ht="12">
      <c r="A270" s="31"/>
      <c r="B270" s="31"/>
      <c r="C270" s="31"/>
      <c r="D270" s="31"/>
      <c r="E270" s="31"/>
      <c r="F270" s="31"/>
      <c r="G270" s="31"/>
      <c r="H270" s="31"/>
    </row>
    <row r="271" spans="1:8" ht="12">
      <c r="A271" s="31"/>
      <c r="B271" s="31"/>
      <c r="C271" s="31"/>
      <c r="D271" s="31"/>
      <c r="E271" s="31"/>
      <c r="F271" s="31"/>
      <c r="G271" s="31"/>
      <c r="H271" s="31"/>
    </row>
    <row r="272" spans="1:8" ht="12">
      <c r="A272" s="31"/>
      <c r="B272" s="31"/>
      <c r="C272" s="31"/>
      <c r="D272" s="31"/>
      <c r="E272" s="31"/>
      <c r="F272" s="31"/>
      <c r="G272" s="31"/>
      <c r="H272" s="31"/>
    </row>
    <row r="273" spans="1:8" ht="12">
      <c r="A273" s="31"/>
      <c r="B273" s="31"/>
      <c r="C273" s="31"/>
      <c r="D273" s="31"/>
      <c r="E273" s="31"/>
      <c r="F273" s="31"/>
      <c r="G273" s="31"/>
      <c r="H273" s="31"/>
    </row>
    <row r="274" spans="1:8" ht="12">
      <c r="A274" s="31"/>
      <c r="B274" s="31"/>
      <c r="C274" s="31"/>
      <c r="D274" s="31"/>
      <c r="E274" s="31"/>
      <c r="F274" s="31"/>
      <c r="G274" s="31"/>
      <c r="H274" s="31"/>
    </row>
    <row r="275" spans="1:8" ht="12">
      <c r="A275" s="31"/>
      <c r="B275" s="31"/>
      <c r="C275" s="31"/>
      <c r="D275" s="31"/>
      <c r="E275" s="31"/>
      <c r="F275" s="31"/>
      <c r="G275" s="31"/>
      <c r="H275" s="31"/>
    </row>
    <row r="276" spans="1:8" ht="12">
      <c r="A276" s="31"/>
      <c r="B276" s="31"/>
      <c r="C276" s="31"/>
      <c r="D276" s="31"/>
      <c r="E276" s="31"/>
      <c r="F276" s="31"/>
      <c r="G276" s="31"/>
      <c r="H276" s="31"/>
    </row>
    <row r="277" spans="1:8" ht="12">
      <c r="A277" s="31"/>
      <c r="B277" s="31"/>
      <c r="C277" s="31"/>
      <c r="D277" s="31"/>
      <c r="E277" s="31"/>
      <c r="F277" s="31"/>
      <c r="G277" s="31"/>
      <c r="H277" s="31"/>
    </row>
    <row r="278" spans="1:8" ht="12">
      <c r="A278" s="31"/>
      <c r="B278" s="31"/>
      <c r="C278" s="31"/>
      <c r="D278" s="31"/>
      <c r="E278" s="31"/>
      <c r="F278" s="31"/>
      <c r="G278" s="31"/>
      <c r="H278" s="31"/>
    </row>
    <row r="279" spans="1:8" ht="12">
      <c r="A279" s="31"/>
      <c r="B279" s="31"/>
      <c r="C279" s="31"/>
      <c r="D279" s="31"/>
      <c r="E279" s="31"/>
      <c r="F279" s="31"/>
      <c r="G279" s="31"/>
      <c r="H279" s="31"/>
    </row>
    <row r="280" spans="1:8" ht="12">
      <c r="A280" s="31"/>
      <c r="B280" s="31"/>
      <c r="C280" s="31"/>
      <c r="D280" s="31"/>
      <c r="E280" s="31"/>
      <c r="F280" s="31"/>
      <c r="G280" s="31"/>
      <c r="H280" s="31"/>
    </row>
    <row r="281" spans="1:8" ht="12">
      <c r="A281" s="31"/>
      <c r="B281" s="31"/>
      <c r="C281" s="31"/>
      <c r="D281" s="31"/>
      <c r="E281" s="31"/>
      <c r="F281" s="31"/>
      <c r="G281" s="31"/>
      <c r="H281" s="31"/>
    </row>
    <row r="282" spans="1:8" ht="12">
      <c r="A282" s="31"/>
      <c r="B282" s="31"/>
      <c r="C282" s="31"/>
      <c r="D282" s="31"/>
      <c r="E282" s="31"/>
      <c r="F282" s="31"/>
      <c r="G282" s="31"/>
      <c r="H282" s="31"/>
    </row>
    <row r="283" spans="1:8" ht="12">
      <c r="A283" s="31"/>
      <c r="B283" s="31"/>
      <c r="C283" s="31"/>
      <c r="D283" s="31"/>
      <c r="E283" s="31"/>
      <c r="F283" s="31"/>
      <c r="G283" s="31"/>
      <c r="H283" s="31"/>
    </row>
    <row r="284" spans="1:8" ht="12">
      <c r="A284" s="31"/>
      <c r="B284" s="31"/>
      <c r="C284" s="31"/>
      <c r="D284" s="31"/>
      <c r="E284" s="31"/>
      <c r="F284" s="31"/>
      <c r="G284" s="31"/>
      <c r="H284" s="31"/>
    </row>
    <row r="285" spans="1:8" ht="12">
      <c r="A285" s="31"/>
      <c r="B285" s="31"/>
      <c r="C285" s="31"/>
      <c r="D285" s="31"/>
      <c r="E285" s="31"/>
      <c r="F285" s="31"/>
      <c r="G285" s="31"/>
      <c r="H285" s="31"/>
    </row>
    <row r="286" spans="1:8" ht="12">
      <c r="A286" s="31"/>
      <c r="B286" s="31"/>
      <c r="C286" s="31"/>
      <c r="D286" s="31"/>
      <c r="E286" s="31"/>
      <c r="F286" s="31"/>
      <c r="G286" s="31"/>
      <c r="H286" s="31"/>
    </row>
    <row r="287" spans="1:8" ht="12">
      <c r="A287" s="31"/>
      <c r="B287" s="31"/>
      <c r="C287" s="31"/>
      <c r="D287" s="31"/>
      <c r="E287" s="31"/>
      <c r="F287" s="31"/>
      <c r="G287" s="31"/>
      <c r="H287" s="31"/>
    </row>
    <row r="288" spans="1:8" ht="12">
      <c r="A288" s="31"/>
      <c r="B288" s="31"/>
      <c r="C288" s="31"/>
      <c r="D288" s="31"/>
      <c r="E288" s="31"/>
      <c r="F288" s="31"/>
      <c r="G288" s="31"/>
      <c r="H288" s="31"/>
    </row>
    <row r="289" spans="1:8" ht="12">
      <c r="A289" s="31"/>
      <c r="B289" s="31"/>
      <c r="C289" s="31"/>
      <c r="D289" s="31"/>
      <c r="E289" s="31"/>
      <c r="F289" s="31"/>
      <c r="G289" s="31"/>
      <c r="H289" s="31"/>
    </row>
    <row r="290" spans="1:8" ht="12">
      <c r="A290" s="31"/>
      <c r="B290" s="31"/>
      <c r="C290" s="31"/>
      <c r="D290" s="31"/>
      <c r="E290" s="31"/>
      <c r="F290" s="31"/>
      <c r="G290" s="31"/>
      <c r="H290" s="31"/>
    </row>
    <row r="291" spans="1:8" ht="12">
      <c r="A291" s="31"/>
      <c r="B291" s="31"/>
      <c r="C291" s="31"/>
      <c r="D291" s="31"/>
      <c r="E291" s="31"/>
      <c r="F291" s="31"/>
      <c r="G291" s="31"/>
      <c r="H291" s="31"/>
    </row>
    <row r="292" spans="1:8" ht="12">
      <c r="A292" s="31"/>
      <c r="B292" s="31"/>
      <c r="C292" s="31"/>
      <c r="D292" s="31"/>
      <c r="E292" s="31"/>
      <c r="F292" s="31"/>
      <c r="G292" s="31"/>
      <c r="H292" s="31"/>
    </row>
    <row r="293" spans="1:8" ht="12">
      <c r="A293" s="31"/>
      <c r="B293" s="31"/>
      <c r="C293" s="31"/>
      <c r="D293" s="31"/>
      <c r="E293" s="31"/>
      <c r="F293" s="31"/>
      <c r="G293" s="31"/>
      <c r="H293" s="31"/>
    </row>
    <row r="294" spans="1:8" ht="12">
      <c r="A294" s="31"/>
      <c r="B294" s="31"/>
      <c r="C294" s="31"/>
      <c r="D294" s="31"/>
      <c r="E294" s="31"/>
      <c r="F294" s="31"/>
      <c r="G294" s="31"/>
      <c r="H294" s="31"/>
    </row>
    <row r="295" spans="1:8" ht="12">
      <c r="A295" s="31"/>
      <c r="B295" s="31"/>
      <c r="C295" s="31"/>
      <c r="D295" s="31"/>
      <c r="E295" s="31"/>
      <c r="F295" s="31"/>
      <c r="G295" s="31"/>
      <c r="H295" s="31"/>
    </row>
    <row r="296" spans="1:8" ht="12">
      <c r="A296" s="31"/>
      <c r="B296" s="31"/>
      <c r="C296" s="31"/>
      <c r="D296" s="31"/>
      <c r="E296" s="31"/>
      <c r="F296" s="31"/>
      <c r="G296" s="31"/>
      <c r="H296" s="31"/>
    </row>
    <row r="297" spans="1:8" ht="12">
      <c r="A297" s="31"/>
      <c r="B297" s="31"/>
      <c r="C297" s="31"/>
      <c r="D297" s="31"/>
      <c r="E297" s="31"/>
      <c r="F297" s="31"/>
      <c r="G297" s="31"/>
      <c r="H297" s="31"/>
    </row>
    <row r="298" spans="1:8" ht="12">
      <c r="A298" s="31"/>
      <c r="B298" s="31"/>
      <c r="C298" s="31"/>
      <c r="D298" s="31"/>
      <c r="E298" s="31"/>
      <c r="F298" s="31"/>
      <c r="G298" s="31"/>
      <c r="H298" s="31"/>
    </row>
    <row r="299" spans="1:8" ht="12">
      <c r="A299" s="31"/>
      <c r="B299" s="31"/>
      <c r="C299" s="31"/>
      <c r="D299" s="31"/>
      <c r="E299" s="31"/>
      <c r="F299" s="31"/>
      <c r="G299" s="31"/>
      <c r="H299" s="31"/>
    </row>
    <row r="300" spans="1:8" ht="12">
      <c r="A300" s="31"/>
      <c r="B300" s="31"/>
      <c r="C300" s="31"/>
      <c r="D300" s="31"/>
      <c r="E300" s="31"/>
      <c r="F300" s="31"/>
      <c r="G300" s="31"/>
      <c r="H300" s="31"/>
    </row>
    <row r="301" spans="1:8" ht="12">
      <c r="A301" s="31"/>
      <c r="B301" s="31"/>
      <c r="C301" s="31"/>
      <c r="D301" s="31"/>
      <c r="E301" s="31"/>
      <c r="F301" s="31"/>
      <c r="G301" s="31"/>
      <c r="H301" s="31"/>
    </row>
    <row r="302" spans="1:8" ht="12">
      <c r="A302" s="31"/>
      <c r="B302" s="31"/>
      <c r="C302" s="31"/>
      <c r="D302" s="31"/>
      <c r="E302" s="31"/>
      <c r="F302" s="31"/>
      <c r="G302" s="31"/>
      <c r="H302" s="31"/>
    </row>
    <row r="303" spans="1:8" ht="12">
      <c r="A303" s="31"/>
      <c r="B303" s="31"/>
      <c r="C303" s="31"/>
      <c r="D303" s="31"/>
      <c r="E303" s="31"/>
      <c r="F303" s="31"/>
      <c r="G303" s="31"/>
      <c r="H303" s="31"/>
    </row>
    <row r="304" spans="1:8" ht="12">
      <c r="A304" s="31"/>
      <c r="B304" s="31"/>
      <c r="C304" s="31"/>
      <c r="D304" s="31"/>
      <c r="E304" s="31"/>
      <c r="F304" s="31"/>
      <c r="G304" s="31"/>
      <c r="H304" s="31"/>
    </row>
    <row r="305" spans="1:8" ht="12">
      <c r="A305" s="31"/>
      <c r="B305" s="31"/>
      <c r="C305" s="31"/>
      <c r="D305" s="31"/>
      <c r="E305" s="31"/>
      <c r="F305" s="31"/>
      <c r="G305" s="31"/>
      <c r="H305" s="31"/>
    </row>
    <row r="306" spans="1:8" ht="12">
      <c r="A306" s="31"/>
      <c r="B306" s="31"/>
      <c r="C306" s="31"/>
      <c r="D306" s="31"/>
      <c r="E306" s="31"/>
      <c r="F306" s="31"/>
      <c r="G306" s="31"/>
      <c r="H306" s="31"/>
    </row>
  </sheetData>
  <sheetProtection sheet="1" objects="1" scenarios="1"/>
  <protectedRanges>
    <protectedRange sqref="B12:B15 B19:C19" name="Range1"/>
  </protectedRanges>
  <mergeCells count="16">
    <mergeCell ref="A2:H2"/>
    <mergeCell ref="A3:H3"/>
    <mergeCell ref="A6:H6"/>
    <mergeCell ref="A7:H7"/>
    <mergeCell ref="A4:H4"/>
    <mergeCell ref="A5:H5"/>
    <mergeCell ref="A8:H8"/>
    <mergeCell ref="A9:D9"/>
    <mergeCell ref="A73:H73"/>
    <mergeCell ref="A27:H27"/>
    <mergeCell ref="A24:H24"/>
    <mergeCell ref="A22:H22"/>
    <mergeCell ref="A49:H49"/>
    <mergeCell ref="A61:H61"/>
    <mergeCell ref="B23:D23"/>
    <mergeCell ref="A18:D18"/>
  </mergeCells>
  <printOptions horizontalCentered="1"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ARE User</cp:lastModifiedBy>
  <cp:lastPrinted>2005-05-17T23:49:19Z</cp:lastPrinted>
  <dcterms:created xsi:type="dcterms:W3CDTF">2003-04-22T20:32:14Z</dcterms:created>
  <dcterms:modified xsi:type="dcterms:W3CDTF">2005-05-27T18:18:05Z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